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GI7k5EjxzRkwi67sNbF6zC1JdcRlVbpCx0UkKvtSoEqLvaJSRwmpe+Mpc93G8zJW83OOVoQN+W7aEZE6P5rXnA==" workbookSaltValue="rLdTVvOGF/JFvntgUjg+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C12" i="14"/>
  <c r="K12" i="14" s="1"/>
  <c r="AB13" i="21"/>
  <c r="BG10" i="8"/>
  <c r="B9" i="6"/>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<sst xmlns="http://schemas.openxmlformats.org/spreadsheetml/2006/main" count="2102" uniqueCount="918">
  <si>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</si>
  <si>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</si>
  <si>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</si>
  <si>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</si>
  <si>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</si>
  <si>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</si>
  <si>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</si>
  <si>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</si>
  <si>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</si>
  <si>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</si>
  <si>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</si>
  <si>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</si>
  <si>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</si>
  <si>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</si>
  <si>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</si>
  <si>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</si>
  <si>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</si>
  <si>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</si>
  <si>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</si>
  <si>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</si>
  <si>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</si>
  <si>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</si>
  <si>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</si>
  <si>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</si>
  <si>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</si>
  <si>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</si>
  <si>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</si>
  <si>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</si>
  <si>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</si>
  <si>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</si>
  <si>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</si>
  <si>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</si>
  <si>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</si>
  <si>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</si>
  <si>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</si>
  <si>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</si>
  <si>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</si>
  <si>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</si>
  <si>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</si>
  <si>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</si>
  <si>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</si>
  <si>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</si>
  <si>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</si>
  <si>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</si>
  <si>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</si>
  <si>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</si>
  <si>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</si>
  <si>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</si>
  <si>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</si>
  <si>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</si>
  <si>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</si>
  <si>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</si>
  <si>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</si>
  <si>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</si>
  <si>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</si>
  <si>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</si>
  <si>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</si>
  <si>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</si>
  <si>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</si>
  <si>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</si>
  <si>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</si>
  <si>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</si>
  <si>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</si>
  <si>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</si>
  <si>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</si>
  <si>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</si>
  <si>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</si>
  <si>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</si>
  <si>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</si>
  <si>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</si>
  <si>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</si>
  <si>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</si>
  <si>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</si>
  <si>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</si>
  <si>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</si>
  <si>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</si>
  <si>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</si>
  <si>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</si>
  <si>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</si>
  <si>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</si>
  <si>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</si>
  <si>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</si>
  <si>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</si>
  <si>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</si>
  <si>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</si>
  <si>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</si>
  <si>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</si>
  <si>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</si>
  <si>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</si>
  <si>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</si>
  <si>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</si>
  <si>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</si>
  <si>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</si>
  <si>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</si>
  <si>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</si>
  <si>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</si>
  <si>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</si>
  <si>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</si>
  <si>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</si>
  <si>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</si>
  <si>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</si>
  <si>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</si>
  <si>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</si>
  <si>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</si>
  <si>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</si>
  <si>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</si>
  <si>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</si>
  <si>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</si>
  <si>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</si>
  <si>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</si>
  <si>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</si>
  <si>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</si>
  <si>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</si>
  <si>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</si>
  <si>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</si>
  <si>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</si>
  <si>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</si>
  <si>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</si>
  <si>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</si>
  <si>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</si>
  <si>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</si>
  <si>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</si>
  <si>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</si>
  <si>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</si>
  <si>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</si>
  <si>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</si>
  <si>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</si>
  <si>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</si>
  <si>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</si>
  <si>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</si>
  <si>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</si>
  <si>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</si>
  <si>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</si>
  <si>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</si>
  <si>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</si>
  <si>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</si>
  <si>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</si>
  <si>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</si>
  <si>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</si>
  <si>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</si>
  <si>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</si>
  <si>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</si>
  <si>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</si>
  <si>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</si>
  <si>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</si>
  <si>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</si>
  <si>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</si>
  <si>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</si>
  <si>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</si>
  <si>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</si>
  <si>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</si>
  <si>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</si>
  <si>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</si>
  <si>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</si>
  <si>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</si>
  <si>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</si>
  <si>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</si>
  <si>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</si>
  <si>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</si>
  <si>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</si>
  <si>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</si>
  <si>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</si>
  <si>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</si>
  <si>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</si>
  <si>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</si>
  <si>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</si>
  <si>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</si>
  <si>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</si>
  <si>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</si>
  <si>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</si>
  <si>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</si>
  <si>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</si>
  <si>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</si>
  <si>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</si>
  <si>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</si>
  <si>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</si>
  <si>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</si>
  <si>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</si>
  <si>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</si>
  <si>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</si>
  <si>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</si>
  <si>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</si>
  <si>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</si>
  <si>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</si>
  <si>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</si>
  <si>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</si>
  <si>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</si>
  <si>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</si>
  <si>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</si>
  <si>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</si>
  <si>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</si>
  <si>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</si>
  <si>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</si>
  <si>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</si>
  <si>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</si>
  <si>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</si>
  <si>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</si>
  <si>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</si>
  <si>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</si>
  <si>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</si>
  <si>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</si>
  <si>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</si>
  <si>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</si>
  <si>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</si>
  <si>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</si>
  <si>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</si>
  <si>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</si>
  <si>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</si>
  <si>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</si>
  <si>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</si>
  <si>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</si>
  <si>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</si>
  <si>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</si>
  <si>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</si>
  <si>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</si>
  <si>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</si>
  <si>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</si>
  <si>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</si>
  <si>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</si>
  <si>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</si>
  <si>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</si>
  <si>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</si>
  <si>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</si>
  <si>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</si>
  <si>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</si>
  <si>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</si>
  <si>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</si>
  <si>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</si>
  <si>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</si>
  <si>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</si>
  <si>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</si>
  <si>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</si>
  <si>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</si>
  <si>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</si>
  <si>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</si>
  <si>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</si>
  <si>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</si>
  <si>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</si>
  <si>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</si>
  <si>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</si>
  <si>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</si>
  <si>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</si>
  <si>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</si>
  <si>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</si>
  <si>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</si>
  <si>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</si>
  <si>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</si>
  <si>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</si>
  <si>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</si>
  <si>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</si>
  <si>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</si>
  <si>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</si>
  <si>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</si>
  <si>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</si>
  <si>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</si>
  <si>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</si>
  <si>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</si>
  <si>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</si>
  <si>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</si>
  <si>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</si>
  <si>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</si>
  <si>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</si>
  <si>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</si>
  <si>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</si>
  <si>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</si>
  <si>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</si>
  <si>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</si>
  <si>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</si>
  <si>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</si>
  <si>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</si>
  <si>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</si>
  <si>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</si>
  <si>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</si>
  <si>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</si>
  <si>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</si>
  <si>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</si>
  <si>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</si>
  <si>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</si>
  <si>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</si>
  <si>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</si>
  <si>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</si>
  <si>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</si>
  <si>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</si>
  <si>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</si>
  <si>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</si>
  <si>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</si>
  <si>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</si>
  <si>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</si>
  <si>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</si>
  <si>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</si>
  <si>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</si>
  <si>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</si>
  <si>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</si>
  <si>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</si>
  <si>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</si>
  <si>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</si>
  <si>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</si>
  <si>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</si>
  <si>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</si>
  <si>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</si>
  <si>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</si>
  <si>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</si>
  <si>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</si>
  <si>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</si>
  <si>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</si>
  <si>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</si>
  <si>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</si>
  <si>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</si>
  <si>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</si>
  <si>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</si>
  <si>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</si>
  <si>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</si>
  <si>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</si>
  <si>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</si>
  <si>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</si>
  <si>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</si>
  <si>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</si>
  <si>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</si>
  <si>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</si>
  <si>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</si>
  <si>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</si>
  <si>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</si>
  <si>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</si>
  <si>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</si>
  <si>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</si>
  <si>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</si>
  <si>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</si>
  <si>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</si>
  <si>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</si>
  <si>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</si>
  <si>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</si>
  <si>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</si>
  <si>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</si>
  <si>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</si>
  <si>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</si>
  <si>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</si>
  <si>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</si>
  <si>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</si>
  <si>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</si>
  <si>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</si>
  <si>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</si>
  <si>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</si>
  <si>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</si>
  <si>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</si>
  <si>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</si>
  <si>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</si>
  <si>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</si>
  <si>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</si>
  <si>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</si>
  <si>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</si>
  <si>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</si>
  <si>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</si>
  <si>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</si>
  <si>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</si>
  <si>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</si>
  <si>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</si>
  <si>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</si>
  <si>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</si>
  <si>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</si>
  <si>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</si>
  <si>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</si>
  <si>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</si>
  <si>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</si>
  <si>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</si>
  <si>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</si>
  <si>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</si>
  <si>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</si>
  <si>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</si>
  <si>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</si>
  <si>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</si>
  <si>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</si>
  <si>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</si>
  <si>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</si>
  <si>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</si>
  <si>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</si>
  <si>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</si>
  <si>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</si>
  <si>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</si>
  <si>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</si>
  <si>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</si>
  <si>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</si>
  <si>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</si>
  <si>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</si>
  <si>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</si>
  <si>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</si>
  <si>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</si>
  <si>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</si>
  <si>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</si>
  <si>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</si>
  <si>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</si>
  <si>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</si>
  <si>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</si>
  <si>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</si>
  <si>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</si>
  <si>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</si>
  <si>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</si>
  <si>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</si>
  <si>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</si>
  <si>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</si>
  <si>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</si>
  <si>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</si>
  <si>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</si>
  <si>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</si>
  <si>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</si>
  <si>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</si>
  <si>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</si>
  <si>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</si>
  <si>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</si>
  <si>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</si>
  <si>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</si>
  <si>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</si>
  <si>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</si>
  <si>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</si>
  <si>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</si>
  <si>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</si>
  <si>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</si>
  <si>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</si>
  <si>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</si>
  <si>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</si>
  <si>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</si>
  <si>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</si>
  <si>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</si>
  <si>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</si>
  <si>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</si>
  <si>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</si>
  <si>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</si>
  <si>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</si>
  <si>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</si>
  <si>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</si>
  <si>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</si>
  <si>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</si>
  <si>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</si>
  <si>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</si>
  <si>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</si>
  <si>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</si>
  <si>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</si>
  <si>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</si>
  <si>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</si>
  <si>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</si>
  <si>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</si>
  <si>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</si>
  <si>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</si>
  <si>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</si>
  <si>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</si>
  <si>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</si>
  <si>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</si>
  <si>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</si>
  <si>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</si>
  <si>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</si>
  <si>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</si>
  <si>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</si>
  <si>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</si>
  <si>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</si>
  <si>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</si>
  <si>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</si>
  <si>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</si>
  <si>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</si>
  <si>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</si>
  <si>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</si>
  <si>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</si>
  <si>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</si>
  <si>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</si>
  <si>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</si>
  <si>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</si>
  <si>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</si>
  <si>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</si>
  <si>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</si>
  <si>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</si>
  <si>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</si>
  <si>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</si>
  <si>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</si>
  <si>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</si>
  <si>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</si>
  <si>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</si>
  <si>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</si>
  <si>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</si>
  <si>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</si>
  <si>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</si>
  <si>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</si>
  <si>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</si>
  <si>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</si>
  <si>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</si>
  <si>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</si>
  <si>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</si>
  <si>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</si>
  <si>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</si>
  <si>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</si>
  <si>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</si>
  <si>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</si>
  <si>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</si>
  <si>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</si>
  <si>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</si>
  <si>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</si>
  <si>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</si>
  <si>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</si>
  <si>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</si>
  <si>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</si>
  <si>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</si>
  <si>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</si>
  <si>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</si>
  <si>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</si>
  <si>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</si>
  <si>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</si>
  <si>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</si>
  <si>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</si>
  <si>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</si>
  <si>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</si>
  <si>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</si>
  <si>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</si>
  <si>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</si>
  <si>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</si>
  <si>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</si>
  <si>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</si>
  <si>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</si>
  <si>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</si>
  <si>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</si>
  <si>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</si>
  <si>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</si>
  <si>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</si>
  <si>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</si>
  <si>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</si>
  <si>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</si>
  <si>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</si>
  <si>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</si>
  <si>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</si>
  <si>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</si>
  <si>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</si>
  <si>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</si>
  <si>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</si>
  <si>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</si>
  <si>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</si>
  <si>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</si>
  <si>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</si>
  <si>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</si>
  <si>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</si>
  <si>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</si>
  <si>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</si>
  <si>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</si>
  <si>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</si>
  <si>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</si>
  <si>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</si>
  <si>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</si>
  <si>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</si>
  <si>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</si>
  <si>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</si>
  <si>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</si>
  <si>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</si>
  <si>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</si>
  <si>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</si>
  <si>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</si>
  <si>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</si>
  <si>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</si>
  <si>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</si>
  <si>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</si>
  <si>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</si>
  <si>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</si>
  <si>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</si>
  <si>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</si>
  <si>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</si>
  <si>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</si>
  <si>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</si>
  <si>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</si>
  <si>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</si>
  <si>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</si>
  <si>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</si>
  <si>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</si>
  <si>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</si>
  <si>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</si>
  <si>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</si>
  <si>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</si>
  <si>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</si>
  <si>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</si>
  <si>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</si>
  <si>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</si>
  <si>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</si>
  <si>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</si>
  <si>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</si>
  <si>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</si>
  <si>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</si>
  <si>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</si>
  <si>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</si>
  <si>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</si>
  <si>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</si>
  <si>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</si>
  <si>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</si>
  <si>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</si>
  <si>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</si>
  <si>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</si>
  <si>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</si>
  <si>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</si>
  <si>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</si>
  <si>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</si>
  <si>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</si>
  <si>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</si>
  <si>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</si>
  <si>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</si>
  <si>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</si>
  <si>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</si>
  <si>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</si>
  <si>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</si>
  <si>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</si>
  <si>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</si>
  <si>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</si>
  <si>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</si>
  <si>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</si>
  <si>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</si>
  <si>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</si>
  <si>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</si>
  <si>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</si>
  <si>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</si>
  <si>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</si>
  <si>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</si>
  <si>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</si>
  <si>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</si>
  <si>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</si>
  <si>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</si>
  <si>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</si>
  <si>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</si>
  <si>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</si>
  <si>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</si>
  <si>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</si>
  <si>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</si>
  <si>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</si>
  <si>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</si>
  <si>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</si>
  <si>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</si>
  <si>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</si>
  <si>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</si>
  <si>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</si>
  <si>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</si>
  <si>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</si>
  <si>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</si>
  <si>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</si>
  <si>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</si>
  <si>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</si>
  <si>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</si>
  <si>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</si>
  <si>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</si>
  <si>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</si>
  <si>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</si>
  <si>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</si>
  <si>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</si>
  <si>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</si>
  <si>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</si>
  <si>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</si>
  <si>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</si>
  <si>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</si>
  <si>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</si>
  <si>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</si>
  <si>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</si>
  <si>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</si>
  <si>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</si>
  <si>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</si>
  <si>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</si>
  <si>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</si>
  <si>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</si>
  <si>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</si>
  <si>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</si>
  <si>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</si>
  <si>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</si>
  <si>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</si>
  <si>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</si>
  <si>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</si>
  <si>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</si>
  <si>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</si>
  <si>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</si>
  <si>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</si>
  <si>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</si>
  <si>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</si>
  <si>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</si>
  <si>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</si>
  <si>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</si>
  <si>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</si>
  <si>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</si>
  <si>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</si>
  <si>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</si>
  <si>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</si>
  <si>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</si>
  <si>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</si>
  <si>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</si>
  <si>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</si>
  <si>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</si>
  <si>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</si>
  <si>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</si>
  <si>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</si>
  <si>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</si>
  <si>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</si>
  <si>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</si>
  <si>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</si>
  <si>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</si>
  <si>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</si>
  <si>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</si>
  <si>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</si>
  <si>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</si>
  <si>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</si>
  <si>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</si>
  <si>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</si>
  <si>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</si>
  <si>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</si>
  <si>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</si>
  <si>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</si>
  <si>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</si>
  <si>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</si>
  <si>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</si>
  <si>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</si>
  <si>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</si>
  <si>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</si>
  <si>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</si>
  <si>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</si>
  <si>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</si>
  <si>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</si>
  <si>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</si>
  <si>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</si>
  <si>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</si>
  <si>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</si>
  <si>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</si>
  <si>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</si>
  <si>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</si>
  <si>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</si>
  <si>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</si>
  <si>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</si>
  <si>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</si>
  <si>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</si>
  <si>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</si>
  <si>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</si>
  <si>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</si>
  <si>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</si>
  <si>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</si>
  <si>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</si>
  <si>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</si>
  <si>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</si>
  <si>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</si>
  <si>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</si>
  <si>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</si>
  <si>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</si>
  <si>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</si>
  <si>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</si>
  <si>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</si>
  <si>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</si>
  <si>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</si>
  <si>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</si>
  <si>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</si>
  <si>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</si>
  <si>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</si>
  <si>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</si>
  <si>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</si>
  <si>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</si>
  <si>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</si>
  <si>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</si>
  <si>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</si>
  <si>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</si>
  <si>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</si>
  <si>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</si>
  <si>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</si>
  <si>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</si>
  <si>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</si>
  <si>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</si>
  <si>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</si>
  <si>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</si>
  <si>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</si>
  <si>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</si>
  <si>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</si>
  <si>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</si>
  <si>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</si>
  <si>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</si>
  <si>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</si>
  <si>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</si>
  <si>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</si>
  <si>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</si>
  <si>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</si>
  <si>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</si>
  <si>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</si>
  <si>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</si>
  <si>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</si>
  <si>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</si>
  <si>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</si>
  <si>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</si>
  <si>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</si>
  <si>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</si>
  <si>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</si>
  <si>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</si>
  <si>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</si>
  <si>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</si>
  <si>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</si>
  <si>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</si>
  <si>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</si>
  <si>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</si>
  <si>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</si>
  <si>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</si>
  <si>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</si>
  <si>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</si>
  <si>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</si>
  <si>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</si>
  <si>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</si>
  <si>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</si>
  <si>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</si>
  <si>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</si>
  <si>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</si>
  <si>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</si>
  <si>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</si>
  <si>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</si>
  <si>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</si>
  <si>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</si>
  <si>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</si>
  <si>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</si>
  <si>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</si>
  <si>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</si>
  <si>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</si>
  <si>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</si>
  <si>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</si>
  <si>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</si>
  <si>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</si>
  <si>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</si>
  <si>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</si>
  <si>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</si>
  <si>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</si>
  <si>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</si>
  <si>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</si>
  <si>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</si>
  <si>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</si>
  <si>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</si>
  <si>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</si>
  <si>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</si>
  <si>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</si>
  <si>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</si>
  <si>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</si>
  <si>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</si>
  <si>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</si>
  <si>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</si>
  <si>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</si>
  <si>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</si>
  <si>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</si>
  <si>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</si>
  <si>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</si>
  <si>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</si>
  <si>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</si>
  <si>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</si>
  <si>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</si>
  <si>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</si>
  <si>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</si>
  <si>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</si>
  <si>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</si>
  <si>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</si>
  <si>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</si>
  <si>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</si>
  <si>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</si>
  <si>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</si>
  <si>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</si>
  <si>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</si>
  <si>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</si>
  <si>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</si>
  <si>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</si>
  <si>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</si>
  <si>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</si>
  <si>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</si>
  <si>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</si>
  <si>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</si>
  <si>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</si>
  <si>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</si>
  <si>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</si>
  <si>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</si>
  <si>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</si>
  <si>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</si>
  <si>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</si>
  <si>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</si>
  <si>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</si>
  <si>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</si>
  <si>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</si>
  <si>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</si>
  <si>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</si>
  <si>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</si>
  <si>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</si>
  <si>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</si>
  <si>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</si>
  <si>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</si>
  <si>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</si>
  <si>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</si>
  <si>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</si>
  <si>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</si>
  <si>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</si>
  <si>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</si>
  <si>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</si>
  <si>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</si>
  <si>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</si>
  <si>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</si>
  <si>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</si>
  <si>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</si>
  <si>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</si>
  <si>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</si>
  <si>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</si>
  <si>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</si>
  <si>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</si>
  <si>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</si>
  <si>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</si>
  <si>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</si>
  <si>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</si>
  <si>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</si>
  <si>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</si>
  <si>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</si>
  <si>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</si>
  <si>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</si>
  <si>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</si>
  <si>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</si>
  <si>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</si>
  <si>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</si>
  <si>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</si>
  <si>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</si>
  <si>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</si>
  <si>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</si>
  <si>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</si>
  <si>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</si>
  <si>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</si>
  <si>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</si>
  <si>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</si>
  <si>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</si>
  <si>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</si>
  <si>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</si>
  <si>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MOLINA DE SEGURA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</si>
</sst>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vFZ60QpXyMp3LoqOSjhgdBWaEJOZmzJoW/vabdAIBhOWyOuquSdKBSMLodvXIq25ExDz8xW5EfhUFYr/nxUOA==" saltValue="7VMEe8+0yFMZar0GdVrZ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139</v>
      </c>
      <c r="D10" s="225">
        <f>IF(ISNUMBER(Datos!I10),Datos!I10," - ")</f>
        <v>139</v>
      </c>
      <c r="E10" s="226">
        <f>IF(ISNUMBER(Datos!J10),Datos!J10," - ")</f>
        <v>15</v>
      </c>
      <c r="F10" s="226">
        <f>IF(ISNUMBER(Datos!K10),Datos!K10," - ")</f>
        <v>16</v>
      </c>
      <c r="G10" s="1034" t="str">
        <f>IF(Datos!E10&lt;&gt;"",Datos!E10,Datos!D10)</f>
        <v>37</v>
      </c>
      <c r="H10" s="227">
        <f>IF(ISNUMBER(Datos!L10),Datos!L10," - ")</f>
        <v>138</v>
      </c>
      <c r="I10" s="1044" t="str">
        <f>IF(ISNUMBER(Datos!AS10/Datos!BM10),Datos!AS10/Datos!BM10," - ")</f>
        <v xml:space="preserve"> - </v>
      </c>
      <c r="J10" s="1045">
        <f>IF(ISNUMBER(Datos!BY10/Datos!CN10),Datos!BY10/Datos!CN10," - ")</f>
        <v>0</v>
      </c>
      <c r="K10" s="230">
        <f t="shared" ref="K10:K12" si="1">IF(ISNUMBER((E10-F10)/C10),(E10-F10)/C10," - ")</f>
        <v>-7.1942446043165471E-3</v>
      </c>
      <c r="L10" s="1025">
        <f>IF(ISNUMBER(NºAsuntos!I10/NºAsuntos!G10),(NºAsuntos!I10/NºAsuntos!G10)*11," - ")</f>
        <v>94.875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65.268334280841387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139</v>
      </c>
      <c r="D13" s="1049">
        <f>SUBTOTAL(9,D9:D12)</f>
        <v>139</v>
      </c>
      <c r="E13" s="1050">
        <f>SUBTOTAL(9,E9:E12)</f>
        <v>15</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3933</v>
      </c>
      <c r="D16" s="225">
        <f>IF(ISNUMBER(IF(D_I="SI",Datos!I16,Datos!I16+Datos!AC16)),IF(D_I="SI",Datos!I16,Datos!I16+Datos!AC16)," - ")</f>
        <v>3940</v>
      </c>
      <c r="E16" s="226">
        <f>IF(ISNUMBER(IF(D_I="SI",Datos!J16,Datos!J16+Datos!AD16)),IF(D_I="SI",Datos!J16,Datos!J16+Datos!AD16)," - ")</f>
        <v>1584</v>
      </c>
      <c r="F16" s="226">
        <f>IF(ISNUMBER(IF(D_I="SI",Datos!K16,Datos!K16+Datos!AE16)),IF(D_I="SI",Datos!K16,Datos!K16+Datos!AE16)," - ")</f>
        <v>1324</v>
      </c>
      <c r="G16" s="1034" t="str">
        <f>IF(Datos!E16&lt;&gt;"",Datos!E16,Datos!D16)</f>
        <v>04</v>
      </c>
      <c r="H16" s="227">
        <f>IF(ISNUMBER(IF(D_I="SI",Datos!L16,Datos!L16+Datos!AF16)),IF(D_I="SI",Datos!L16,Datos!L16+Datos!AF16)," - ")</f>
        <v>4193</v>
      </c>
      <c r="I16" s="1044" t="str">
        <f>IF(ISNUMBER(Datos!AS16/Datos!BM16),Datos!AS16/Datos!BM16," - ")</f>
        <v xml:space="preserve"> - </v>
      </c>
      <c r="J16" s="1045">
        <f>IF(ISNUMBER(Datos!BY16/Datos!CN16),Datos!BY16/Datos!CN16," - ")</f>
        <v>0</v>
      </c>
      <c r="K16" s="230">
        <f t="shared" si="3"/>
        <v>6.6107297228578693E-2</v>
      </c>
      <c r="L16" s="1025">
        <f>IF(ISNUMBER(NºAsuntos!I16/NºAsuntos!G16),(NºAsuntos!I16/NºAsuntos!G16)*11," - ")</f>
        <v>34.836102719033228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513</v>
      </c>
      <c r="D17" s="225">
        <f>IF(ISNUMBER(IF(D_I="SI",Datos!I17,Datos!I17+Datos!AC17)),IF(D_I="SI",Datos!I17,Datos!I17+Datos!AC17)," - ")</f>
        <v>506</v>
      </c>
      <c r="E17" s="226">
        <f>IF(ISNUMBER(IF(D_I="SI",Datos!J17,Datos!J17+Datos!AD17)),IF(D_I="SI",Datos!J17,Datos!J17+Datos!AD17)," - ")</f>
        <v>180</v>
      </c>
      <c r="F17" s="226">
        <f>IF(ISNUMBER(IF(D_I="SI",Datos!K17,Datos!K17+Datos!AE17)),IF(D_I="SI",Datos!K17,Datos!K17+Datos!AE17)," - ")</f>
        <v>180</v>
      </c>
      <c r="G17" s="1034" t="str">
        <f>IF(Datos!E17&lt;&gt;"",Datos!E17,Datos!D17)</f>
        <v>37</v>
      </c>
      <c r="H17" s="227">
        <f>IF(ISNUMBER(IF(D_I="SI",Datos!L17,Datos!L17+Datos!AF17)),IF(D_I="SI",Datos!L17,Datos!L17+Datos!AF17)," - ")</f>
        <v>513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31.35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4446</v>
      </c>
      <c r="D18" s="1049">
        <f>SUBTOTAL(9,D15:D17)</f>
        <v>4446</v>
      </c>
      <c r="E18" s="1050">
        <f>SUBTOTAL(9,E15:E17)</f>
        <v>1764</v>
      </c>
      <c r="F18" s="1050">
        <f>SUBTOTAL(9,F15:F17)</f>
        <v>1504</v>
      </c>
      <c r="G18" s="1052" t="str">
        <f ca="1">INDIRECT(CONCATENATE("G",ROW()-1))</f>
        <v>37</v>
      </c>
      <c r="H18" s="1053">
        <f ca="1">SUMIF(G$14:G17,G18,H$14:H17)</f>
        <v>513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4585</v>
      </c>
      <c r="D19" s="1071">
        <f>SUBTOTAL(9,D9:D18)</f>
        <v>4585</v>
      </c>
      <c r="E19" s="1072">
        <f>SUBTOTAL(9,E9:E18)</f>
        <v>1779</v>
      </c>
      <c r="F19" s="1072">
        <f>SUBTOTAL(9,F9:F18)</f>
        <v>1520</v>
      </c>
      <c r="G19" s="1073"/>
      <c r="H19" s="1074">
        <f ca="1">SUMIF(B9:B18,"TOTAL",H9:H18)</f>
        <v>513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lDN7UPSzjpYbT1b+ZmS4SCDI1MflMPagMkHtWc4Rjt1+B3q5fo8CHtsI6nAEPGHR4VBjj/P38a9jzmtQIYs5Q==" saltValue="m52vKmyNlxkcpv6cQuIG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d4f0gAZTk7AeIaf5A/6vNBELAzQa/QukggddmILzj8D+8DRMEGWjfpQW+fkhu3h+xDLc0RjP1FhHz73o7SDdQ==" saltValue="RusYIc5cPPxkYByKzY/V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139</v>
      </c>
      <c r="J10" s="181">
        <v>15</v>
      </c>
      <c r="K10" s="181">
        <v>16</v>
      </c>
      <c r="L10" s="181">
        <v>138</v>
      </c>
      <c r="M10" s="181">
        <v>0</v>
      </c>
      <c r="N10" s="181">
        <v>0</v>
      </c>
      <c r="O10" s="181">
        <v>0</v>
      </c>
      <c r="P10" s="181">
        <v>0</v>
      </c>
      <c r="Q10" s="181">
        <v>4</v>
      </c>
      <c r="R10" s="181">
        <v>13</v>
      </c>
      <c r="S10" s="181">
        <v>167</v>
      </c>
      <c r="T10" s="181">
        <v>24</v>
      </c>
      <c r="U10" s="181">
        <v>9</v>
      </c>
      <c r="V10" s="181">
        <v>182</v>
      </c>
      <c r="W10" s="181">
        <v>4</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167</v>
      </c>
      <c r="AZ10" s="129">
        <f t="shared" si="0"/>
        <v>24</v>
      </c>
      <c r="BA10" s="129">
        <f t="shared" si="0"/>
        <v>9</v>
      </c>
      <c r="BB10" s="129">
        <f t="shared" si="0"/>
        <v>182</v>
      </c>
      <c r="BC10" s="125">
        <f t="shared" si="0"/>
        <v>4</v>
      </c>
      <c r="BD10" s="126">
        <f>IF(ISNUMBER(BA10/AZ10),BA10/AZ10," - ")</f>
        <v>0.375</v>
      </c>
      <c r="BE10" s="127">
        <f>IF(ISNUMBER(BB10/BA10),BB10/BA10, " - ")</f>
        <v>20.222222222222221</v>
      </c>
      <c r="BF10" s="127">
        <f>IF(ISNUMBER(BC10/BA10),BC10/BA10, " - ")</f>
        <v>0.44444444444444442</v>
      </c>
      <c r="BG10" s="196">
        <f>IF(ISNUMBER((AY10+AZ10)/BA10),(AY10+AZ10)/BA10," - ")</f>
        <v>21.222222222222221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10083</v>
      </c>
      <c r="J12" s="183">
        <v>1769</v>
      </c>
      <c r="K12" s="183">
        <v>1662</v>
      </c>
      <c r="L12" s="183">
        <v>10143</v>
      </c>
      <c r="M12" s="183">
        <v>367</v>
      </c>
      <c r="N12" s="183">
        <v>607</v>
      </c>
      <c r="O12" s="181">
        <v>1016</v>
      </c>
      <c r="P12" s="183">
        <v>555</v>
      </c>
      <c r="Q12" s="183">
        <v>1971</v>
      </c>
      <c r="R12" s="183">
        <v>12294</v>
      </c>
      <c r="S12" s="183">
        <v>10237</v>
      </c>
      <c r="T12" s="183">
        <v>2177</v>
      </c>
      <c r="U12" s="183">
        <v>1123</v>
      </c>
      <c r="V12" s="183">
        <v>10369</v>
      </c>
      <c r="W12" s="183">
        <v>214</v>
      </c>
      <c r="X12" s="189">
        <v>403</v>
      </c>
      <c r="Y12" s="191">
        <v>348</v>
      </c>
      <c r="Z12" s="181">
        <v>46</v>
      </c>
      <c r="AA12" s="181">
        <v>97</v>
      </c>
      <c r="AB12" s="181">
        <v>294</v>
      </c>
      <c r="AC12" s="183">
        <v>0</v>
      </c>
      <c r="AD12" s="183">
        <v>0</v>
      </c>
      <c r="AE12" s="183">
        <v>0</v>
      </c>
      <c r="AF12" s="189">
        <v>0</v>
      </c>
      <c r="AG12" s="202">
        <v>573</v>
      </c>
      <c r="AH12" s="183">
        <v>124</v>
      </c>
      <c r="AI12" s="183">
        <v>110</v>
      </c>
      <c r="AJ12" s="203">
        <v>568</v>
      </c>
      <c r="AK12" s="182">
        <v>0</v>
      </c>
      <c r="AL12" s="183">
        <v>0</v>
      </c>
      <c r="AM12" s="183">
        <v>0</v>
      </c>
      <c r="AN12" s="189">
        <v>0</v>
      </c>
      <c r="AO12" s="259">
        <v>7</v>
      </c>
      <c r="AP12" s="155">
        <v>7</v>
      </c>
      <c r="AQ12" s="155">
        <v>7</v>
      </c>
      <c r="AR12" s="154">
        <v>7</v>
      </c>
      <c r="AS12" s="340" t="s">
        <v>802</v>
      </c>
      <c r="AT12" s="203"/>
      <c r="AU12" s="202"/>
      <c r="AV12" s="203"/>
      <c r="AW12" s="202"/>
      <c r="AX12" s="203"/>
      <c r="AY12" s="126">
        <f t="shared" si="1"/>
        <v>10810</v>
      </c>
      <c r="AZ12" s="127">
        <f t="shared" si="1"/>
        <v>2301</v>
      </c>
      <c r="BA12" s="127">
        <f t="shared" si="1"/>
        <v>1233</v>
      </c>
      <c r="BB12" s="127">
        <f t="shared" si="1"/>
        <v>10937</v>
      </c>
      <c r="BC12" s="125">
        <f>IF(ISNUMBER(X12),X12," - ")</f>
        <v>403</v>
      </c>
      <c r="BD12" s="126">
        <f t="shared" si="2"/>
        <v>0.53585397653194267</v>
      </c>
      <c r="BE12" s="127">
        <f t="shared" si="3"/>
        <v>8.8702351987023516</v>
      </c>
      <c r="BF12" s="127">
        <f t="shared" si="4"/>
        <v>0.32684509326845096</v>
      </c>
      <c r="BG12" s="196">
        <f t="shared" si="5"/>
        <v>10.633414436334144</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10222</v>
      </c>
      <c r="J13" s="184">
        <f t="shared" si="6"/>
        <v>1784</v>
      </c>
      <c r="K13" s="184">
        <f t="shared" si="6"/>
        <v>1678</v>
      </c>
      <c r="L13" s="184">
        <f t="shared" si="6"/>
        <v>10281</v>
      </c>
      <c r="M13" s="184">
        <f t="shared" si="6"/>
        <v>367</v>
      </c>
      <c r="N13" s="184">
        <f t="shared" si="6"/>
        <v>607</v>
      </c>
      <c r="O13" s="184">
        <f t="shared" si="6"/>
        <v>1016</v>
      </c>
      <c r="P13" s="184">
        <f t="shared" si="6"/>
        <v>555</v>
      </c>
      <c r="Q13" s="184">
        <f t="shared" si="6"/>
        <v>1975</v>
      </c>
      <c r="R13" s="184">
        <f t="shared" si="6"/>
        <v>12307</v>
      </c>
      <c r="S13" s="184">
        <f t="shared" si="6"/>
        <v>10404</v>
      </c>
      <c r="T13" s="184">
        <f t="shared" si="6"/>
        <v>2201</v>
      </c>
      <c r="U13" s="184">
        <f t="shared" si="6"/>
        <v>1132</v>
      </c>
      <c r="V13" s="184">
        <f t="shared" si="6"/>
        <v>10551</v>
      </c>
      <c r="W13" s="184">
        <f t="shared" si="6"/>
        <v>218</v>
      </c>
      <c r="X13" s="184">
        <f t="shared" si="6"/>
        <v>407</v>
      </c>
      <c r="Y13" s="184">
        <f t="shared" si="6"/>
        <v>348</v>
      </c>
      <c r="Z13" s="184">
        <f t="shared" si="6"/>
        <v>46</v>
      </c>
      <c r="AA13" s="184">
        <f t="shared" si="6"/>
        <v>97</v>
      </c>
      <c r="AB13" s="184">
        <f t="shared" si="6"/>
        <v>294</v>
      </c>
      <c r="AC13" s="184">
        <f t="shared" si="6"/>
        <v>0</v>
      </c>
      <c r="AD13" s="184">
        <f t="shared" si="6"/>
        <v>0</v>
      </c>
      <c r="AE13" s="184">
        <f t="shared" si="6"/>
        <v>0</v>
      </c>
      <c r="AF13" s="184">
        <f>SUBTOTAL(9,AF9:AF12)</f>
        <v>0</v>
      </c>
      <c r="AG13" s="184">
        <f t="shared" ref="AG13:AT13" si="7">SUBTOTAL(9,AG8:AG12)</f>
        <v>573</v>
      </c>
      <c r="AH13" s="184">
        <f t="shared" si="7"/>
        <v>124</v>
      </c>
      <c r="AI13" s="184">
        <f t="shared" si="7"/>
        <v>110</v>
      </c>
      <c r="AJ13" s="184">
        <f t="shared" si="7"/>
        <v>568</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10977</v>
      </c>
      <c r="AZ13" s="184">
        <f>SUBTOTAL(9,AZ8:AZ12)</f>
        <v>2325</v>
      </c>
      <c r="BA13" s="184">
        <f>SUBTOTAL(9,BA8:BA12)</f>
        <v>1242</v>
      </c>
      <c r="BB13" s="184">
        <f>SUBTOTAL(9,BB8:BB12)</f>
        <v>11119</v>
      </c>
      <c r="BC13" s="184">
        <f>SUBTOTAL(9,BC8:BC12)</f>
        <v>407</v>
      </c>
      <c r="BD13" s="205">
        <f>IF(ISNUMBER(BA13/AZ13),BA13/AZ13," - ")</f>
        <v>0.53419354838709676</v>
      </c>
      <c r="BE13" s="206">
        <f>IF(ISNUMBER(BB13/BA13),BB13/BA13, " - ")</f>
        <v>8.952495974235104</v>
      </c>
      <c r="BF13" s="206">
        <f>IF(ISNUMBER(BC13/BA13),BC13/BA13, " - ")</f>
        <v>0.32769726247987119</v>
      </c>
      <c r="BG13" s="207">
        <f>IF(ISNUMBER((AY13+AZ13)/BA13),(AY13+AZ13)/BA13," - ")</f>
        <v>10.710144927536232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3940</v>
      </c>
      <c r="J16" s="183">
        <v>1584</v>
      </c>
      <c r="K16" s="183">
        <v>1324</v>
      </c>
      <c r="L16" s="183">
        <v>4193</v>
      </c>
      <c r="M16" s="183">
        <v>127</v>
      </c>
      <c r="N16" s="183">
        <v>669</v>
      </c>
      <c r="O16" s="181">
        <v>40</v>
      </c>
      <c r="P16" s="183">
        <v>45</v>
      </c>
      <c r="Q16" s="183">
        <v>74</v>
      </c>
      <c r="R16" s="183">
        <v>380</v>
      </c>
      <c r="S16" s="183">
        <v>4121</v>
      </c>
      <c r="T16" s="183">
        <v>1455</v>
      </c>
      <c r="U16" s="183">
        <v>1369</v>
      </c>
      <c r="V16" s="183">
        <v>3855</v>
      </c>
      <c r="W16" s="183">
        <v>134</v>
      </c>
      <c r="X16" s="189">
        <v>836</v>
      </c>
      <c r="Y16" s="202">
        <v>0</v>
      </c>
      <c r="Z16" s="183">
        <v>0</v>
      </c>
      <c r="AA16" s="183">
        <v>0</v>
      </c>
      <c r="AB16" s="183">
        <v>0</v>
      </c>
      <c r="AC16" s="183">
        <v>0</v>
      </c>
      <c r="AD16" s="183">
        <v>2</v>
      </c>
      <c r="AE16" s="183">
        <v>2</v>
      </c>
      <c r="AF16" s="189">
        <v>0</v>
      </c>
      <c r="AG16" s="202">
        <v>0</v>
      </c>
      <c r="AH16" s="183">
        <v>0</v>
      </c>
      <c r="AI16" s="183">
        <v>0</v>
      </c>
      <c r="AJ16" s="203">
        <v>0</v>
      </c>
      <c r="AK16" s="182">
        <v>0</v>
      </c>
      <c r="AL16" s="183">
        <v>1</v>
      </c>
      <c r="AM16" s="183">
        <v>1</v>
      </c>
      <c r="AN16" s="189">
        <v>0</v>
      </c>
      <c r="AO16" s="259">
        <v>7</v>
      </c>
      <c r="AP16" s="155">
        <v>7</v>
      </c>
      <c r="AQ16" s="155">
        <v>7</v>
      </c>
      <c r="AR16" s="155">
        <v>7</v>
      </c>
      <c r="AS16" s="340" t="s">
        <v>487</v>
      </c>
      <c r="AT16" s="203"/>
      <c r="AU16" s="202"/>
      <c r="AV16" s="203"/>
      <c r="AW16" s="202"/>
      <c r="AX16" s="203"/>
      <c r="AY16" s="126">
        <f t="shared" si="9"/>
        <v>4121</v>
      </c>
      <c r="AZ16" s="127">
        <f t="shared" si="9"/>
        <v>1455</v>
      </c>
      <c r="BA16" s="127">
        <f t="shared" si="9"/>
        <v>1369</v>
      </c>
      <c r="BB16" s="127">
        <f t="shared" si="9"/>
        <v>3855</v>
      </c>
      <c r="BC16" s="125">
        <f>IF(ISNUMBER(W16),W16," - ")</f>
        <v>134</v>
      </c>
      <c r="BD16" s="126">
        <f t="shared" ref="BD16" si="11">IF(ISNUMBER(BA16/AZ16),BA16/AZ16," - ")</f>
        <v>0.94089347079037799</v>
      </c>
      <c r="BE16" s="127">
        <f t="shared" ref="BE16" si="12">IF(ISNUMBER(BB16/BA16),BB16/BA16, " - ")</f>
        <v>2.8159240321402486</v>
      </c>
      <c r="BF16" s="127">
        <f t="shared" ref="BF16" si="13">IF(ISNUMBER(BC16/BA16),BC16/BA16, " - ")</f>
        <v>9.7881665449233018E-2</v>
      </c>
      <c r="BG16" s="196">
        <f t="shared" si="10"/>
        <v>4.0730460189919651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506</v>
      </c>
      <c r="J17" s="183">
        <v>180</v>
      </c>
      <c r="K17" s="183">
        <v>180</v>
      </c>
      <c r="L17" s="183">
        <v>513</v>
      </c>
      <c r="M17" s="183">
        <v>45</v>
      </c>
      <c r="N17" s="183">
        <v>86</v>
      </c>
      <c r="O17" s="183">
        <v>0</v>
      </c>
      <c r="P17" s="183">
        <v>5</v>
      </c>
      <c r="Q17" s="183">
        <v>3</v>
      </c>
      <c r="R17" s="183">
        <v>36</v>
      </c>
      <c r="S17" s="183">
        <v>214</v>
      </c>
      <c r="T17" s="183">
        <v>216</v>
      </c>
      <c r="U17" s="183">
        <v>176</v>
      </c>
      <c r="V17" s="183">
        <v>254</v>
      </c>
      <c r="W17" s="183">
        <v>34</v>
      </c>
      <c r="X17" s="189">
        <v>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214</v>
      </c>
      <c r="AZ17" s="129">
        <f t="shared" si="14"/>
        <v>216</v>
      </c>
      <c r="BA17" s="129">
        <f t="shared" si="14"/>
        <v>176</v>
      </c>
      <c r="BB17" s="129">
        <f t="shared" si="14"/>
        <v>254</v>
      </c>
      <c r="BC17" s="125">
        <f>IF(ISNUMBER(W17),W17," - ")</f>
        <v>34</v>
      </c>
      <c r="BD17" s="126">
        <f>IF(ISNUMBER(BA17/AZ17),BA17/AZ17," - ")</f>
        <v>0.81481481481481477</v>
      </c>
      <c r="BE17" s="127">
        <f>IF(ISNUMBER(BB17/BA17),BB17/BA17, " - ")</f>
        <v>1.4431818181818181</v>
      </c>
      <c r="BF17" s="127">
        <f>IF(ISNUMBER(BC17/BA17),BC17/BA17, " - ")</f>
        <v>0.19318181818181818</v>
      </c>
      <c r="BG17" s="196">
        <f>IF(ISNUMBER((AY17+AZ17)/BA17),(AY17+AZ17)/BA17," - ")</f>
        <v>2.4431818181818183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4446</v>
      </c>
      <c r="J18" s="184">
        <f t="shared" si="15"/>
        <v>1764</v>
      </c>
      <c r="K18" s="184">
        <f t="shared" si="15"/>
        <v>1504</v>
      </c>
      <c r="L18" s="184">
        <f t="shared" si="15"/>
        <v>4706</v>
      </c>
      <c r="M18" s="184">
        <f t="shared" si="15"/>
        <v>172</v>
      </c>
      <c r="N18" s="184">
        <f t="shared" si="15"/>
        <v>755</v>
      </c>
      <c r="O18" s="184">
        <f t="shared" si="15"/>
        <v>40</v>
      </c>
      <c r="P18" s="184">
        <f t="shared" si="15"/>
        <v>50</v>
      </c>
      <c r="Q18" s="184">
        <f t="shared" si="15"/>
        <v>77</v>
      </c>
      <c r="R18" s="184">
        <f t="shared" si="15"/>
        <v>416</v>
      </c>
      <c r="S18" s="184">
        <f t="shared" si="15"/>
        <v>4335</v>
      </c>
      <c r="T18" s="184">
        <f t="shared" si="15"/>
        <v>1671</v>
      </c>
      <c r="U18" s="184">
        <f t="shared" si="15"/>
        <v>1545</v>
      </c>
      <c r="V18" s="184">
        <f t="shared" si="15"/>
        <v>4109</v>
      </c>
      <c r="W18" s="184">
        <f t="shared" si="15"/>
        <v>168</v>
      </c>
      <c r="X18" s="184">
        <f t="shared" si="15"/>
        <v>911</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4335</v>
      </c>
      <c r="AZ18" s="184">
        <f>SUBTOTAL(9,AZ14:AZ17)</f>
        <v>1671</v>
      </c>
      <c r="BA18" s="184">
        <f>SUBTOTAL(9,BA14:BA17)</f>
        <v>1545</v>
      </c>
      <c r="BB18" s="184">
        <f>SUBTOTAL(9,BB14:BB17)</f>
        <v>4109</v>
      </c>
      <c r="BC18" s="184">
        <f>SUBTOTAL(9,BC14:BC17)</f>
        <v>168</v>
      </c>
      <c r="BD18" s="205">
        <f>IF(ISNUMBER(BA18/AZ18),BA18/AZ18," - ")</f>
        <v>0.92459605026929981</v>
      </c>
      <c r="BE18" s="206">
        <f>IF(ISNUMBER(BB18/BA18),BB18/BA18, " - ")</f>
        <v>2.6595469255663429</v>
      </c>
      <c r="BF18" s="206">
        <f>IF(ISNUMBER(BC18/BA18),BC18/BA18, " - ")</f>
        <v>0.1087378640776699</v>
      </c>
      <c r="BG18" s="207">
        <f>IF(ISNUMBER((AY18+AZ18)/BA18),(AY18+AZ18)/BA18," - ")</f>
        <v>3.8873786407766988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14668</v>
      </c>
      <c r="J19" s="134">
        <f t="shared" si="18"/>
        <v>3548</v>
      </c>
      <c r="K19" s="134">
        <f t="shared" si="18"/>
        <v>3182</v>
      </c>
      <c r="L19" s="134">
        <f t="shared" si="18"/>
        <v>14987</v>
      </c>
      <c r="M19" s="134">
        <f t="shared" si="18"/>
        <v>539</v>
      </c>
      <c r="N19" s="134">
        <f t="shared" si="18"/>
        <v>1362</v>
      </c>
      <c r="O19" s="134">
        <f t="shared" si="18"/>
        <v>1056</v>
      </c>
      <c r="P19" s="134">
        <f t="shared" si="18"/>
        <v>605</v>
      </c>
      <c r="Q19" s="134">
        <f t="shared" si="18"/>
        <v>2052</v>
      </c>
      <c r="R19" s="134">
        <f t="shared" si="18"/>
        <v>12723</v>
      </c>
      <c r="S19" s="134">
        <f t="shared" si="18"/>
        <v>14739</v>
      </c>
      <c r="T19" s="134">
        <f t="shared" si="18"/>
        <v>3872</v>
      </c>
      <c r="U19" s="134">
        <f t="shared" si="18"/>
        <v>2677</v>
      </c>
      <c r="V19" s="134">
        <f t="shared" si="18"/>
        <v>14660</v>
      </c>
      <c r="W19" s="134">
        <f t="shared" si="18"/>
        <v>386</v>
      </c>
      <c r="X19" s="134">
        <f t="shared" si="18"/>
        <v>1318</v>
      </c>
      <c r="Y19" s="134">
        <f t="shared" si="18"/>
        <v>348</v>
      </c>
      <c r="Z19" s="134">
        <f t="shared" si="18"/>
        <v>46</v>
      </c>
      <c r="AA19" s="134">
        <f t="shared" si="18"/>
        <v>97</v>
      </c>
      <c r="AB19" s="134">
        <f t="shared" si="18"/>
        <v>294</v>
      </c>
      <c r="AC19" s="134">
        <f t="shared" si="18"/>
        <v>0</v>
      </c>
      <c r="AD19" s="134">
        <f t="shared" si="18"/>
        <v>2</v>
      </c>
      <c r="AE19" s="134">
        <f t="shared" si="18"/>
        <v>2</v>
      </c>
      <c r="AF19" s="134">
        <f t="shared" si="18"/>
        <v>0</v>
      </c>
      <c r="AG19" s="134">
        <f t="shared" si="18"/>
        <v>573</v>
      </c>
      <c r="AH19" s="134">
        <f t="shared" si="18"/>
        <v>124</v>
      </c>
      <c r="AI19" s="134">
        <f t="shared" si="18"/>
        <v>110</v>
      </c>
      <c r="AJ19" s="134">
        <f t="shared" si="18"/>
        <v>568</v>
      </c>
      <c r="AK19" s="134">
        <f t="shared" si="18"/>
        <v>0</v>
      </c>
      <c r="AL19" s="134">
        <f t="shared" si="18"/>
        <v>1</v>
      </c>
      <c r="AM19" s="134">
        <f t="shared" si="18"/>
        <v>1</v>
      </c>
      <c r="AN19" s="210">
        <f t="shared" si="18"/>
        <v>0</v>
      </c>
      <c r="AO19" s="211">
        <v>8</v>
      </c>
      <c r="AP19" s="211">
        <v>7</v>
      </c>
      <c r="AQ19" s="211">
        <v>7</v>
      </c>
      <c r="AR19" s="211">
        <v>7</v>
      </c>
      <c r="AS19" s="153">
        <f t="shared" si="18"/>
        <v>0</v>
      </c>
      <c r="AT19" s="153">
        <f t="shared" si="18"/>
        <v>0</v>
      </c>
      <c r="AU19" s="211"/>
      <c r="AV19" s="212"/>
      <c r="AW19" s="211"/>
      <c r="AX19" s="212"/>
      <c r="AY19" s="133">
        <f>SUBTOTAL(9,AY9:AY18)</f>
        <v>15312</v>
      </c>
      <c r="AZ19" s="134">
        <f>SUBTOTAL(9,AZ9:AZ18)</f>
        <v>3996</v>
      </c>
      <c r="BA19" s="134">
        <f>SUBTOTAL(9,BA9:BA18)</f>
        <v>2787</v>
      </c>
      <c r="BB19" s="134">
        <f>SUBTOTAL(9,BB9:BB18)</f>
        <v>15228</v>
      </c>
      <c r="BC19" s="135">
        <f>SUBTOTAL(9,BC9:BC18)</f>
        <v>575</v>
      </c>
      <c r="BD19" s="213">
        <f>IF(ISNUMBER(BA19/AZ19),BA19/AZ19," - ")</f>
        <v>0.69744744744744747</v>
      </c>
      <c r="BE19" s="210">
        <f>IF(ISNUMBER(BB19/BA19),BB19/BA19, " - ")</f>
        <v>5.4639397201291713</v>
      </c>
      <c r="BF19" s="210">
        <f>IF(ISNUMBER(BC19/BA19),BC19/BA19, " - ")</f>
        <v>0.20631503408683172</v>
      </c>
      <c r="BG19" s="135">
        <f>IF(ISNUMBER((AY19+AZ19)/BA19),(AY19+AZ19)/BA19," - ")</f>
        <v>6.9278794402583426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K10GxzB3+h0WaDAuQyW8h+Vs4vMf8nUpyM02N7cIE2yYEt2z0ilna87UrBh3Xv3oUALFIN/OEmAMr21KVOJg==" saltValue="+KFc5eWwS8mpi+V0EaE0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4TMkeFIbdpfvuKw3IGqHC49App2AAu+YTXdz0j0jqE968ckRuapDKPnb8UiSep9HjhBC/4bmDf4m0gLgkYWSg==" saltValue="br3CZJs78SRDVA5gd4Ljq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MOLINA DE SEGURA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139</v>
      </c>
      <c r="G10" s="333">
        <f>IF(ISNUMBER(Datos!I10),Datos!I10," - ")</f>
        <v>139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4</v>
      </c>
      <c r="AD10" s="334"/>
      <c r="AE10" s="484"/>
      <c r="AF10" s="332">
        <f>IF(ISNUMBER(Datos!L10),Datos!L10,"-")</f>
        <v>138</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1.0666666666666667</v>
      </c>
      <c r="BH10" s="260">
        <f>IF(ISNUMBER(((Datos!L10/Datos!K10)*11)/factor_trimestre),((Datos!L10/Datos!K10)*11)/factor_trimestre," - ")</f>
        <v>17.25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-0.23529411764705882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555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294</v>
      </c>
      <c r="AI12" s="334" t="str">
        <f>IF(ISNUMBER(Datos!CD12),Datos!CD12,"-")</f>
        <v>-</v>
      </c>
      <c r="AJ12" s="334" t="str">
        <f>IF(ISNUMBER(Datos!EN12),Datos!EN12," - ")</f>
        <v xml:space="preserve"> - </v>
      </c>
      <c r="AK12" s="334"/>
      <c r="AL12" s="479"/>
      <c r="AM12" s="335">
        <f>IF(ISNUMBER(Datos!R12),Datos!R12," - ")</f>
        <v>12294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367</v>
      </c>
      <c r="BD12" s="229">
        <f>IF(ISNUMBER(Datos!N12),Datos!N12," - ")</f>
        <v>607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0.96914600550964192</v>
      </c>
      <c r="BH12" s="260">
        <f>IF(ISNUMBER(((IF(J_V="SI",Datos!L12/Datos!K12,(Datos!L12+Datos!AB12)/(Datos!K12+Datos!AA12)))*11)/factor_trimestre),((IF(J_V="SI",Datos!L12/Datos!K12,(Datos!L12+Datos!AB12)/(Datos!K12+Datos!AA12)))*11)/factor_trimestre," - ")</f>
        <v>11.866969869243889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-0.10328227571115974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139</v>
      </c>
      <c r="G13" s="898">
        <f t="shared" si="0"/>
        <v>139</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555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1975</v>
      </c>
      <c r="AD13" s="899">
        <f t="shared" si="1"/>
        <v>0</v>
      </c>
      <c r="AE13" s="899">
        <f t="shared" si="1"/>
        <v>0</v>
      </c>
      <c r="AF13" s="899">
        <f t="shared" si="1"/>
        <v>138</v>
      </c>
      <c r="AG13" s="899">
        <f t="shared" si="1"/>
        <v>0</v>
      </c>
      <c r="AH13" s="899">
        <f t="shared" si="1"/>
        <v>294</v>
      </c>
      <c r="AI13" s="899">
        <f t="shared" si="1"/>
        <v>0</v>
      </c>
      <c r="AJ13" s="899">
        <f t="shared" si="1"/>
        <v>0</v>
      </c>
      <c r="AK13" s="899">
        <f t="shared" si="1"/>
        <v>0</v>
      </c>
      <c r="AL13" s="899">
        <f t="shared" si="1"/>
        <v>0</v>
      </c>
      <c r="AM13" s="899">
        <f t="shared" si="1"/>
        <v>12307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367</v>
      </c>
      <c r="BD13" s="899">
        <f t="shared" si="1"/>
        <v>607</v>
      </c>
      <c r="BE13" s="899">
        <f t="shared" si="1"/>
        <v>0</v>
      </c>
      <c r="BF13" s="899">
        <f t="shared" si="1"/>
        <v>0</v>
      </c>
      <c r="BG13" s="899">
        <f>IF(ISNUMBER(Datos!K13/Datos!J13),Datos!K13/Datos!J13," - ")</f>
        <v>0.9405829596412556</v>
      </c>
      <c r="BH13" s="903">
        <f>IF(ISNUMBER(((Datos!L13/Datos!K13)*11)/factor_trimestre),((Datos!L13/Datos!K13)*11)/factor_trimestre," - ")</f>
        <v>12.253873659117998</v>
      </c>
      <c r="BI13" s="899">
        <f>IF(ISNUMBER('Resol  Asuntos'!D13/NºAsuntos!G13),'Resol  Asuntos'!D13/NºAsuntos!G13," - ")</f>
        <v>0.2067605633802817</v>
      </c>
      <c r="BJ13" s="899" t="str">
        <f>IF(ISNUMBER(Datos!CI13/Datos!CJ13),Datos!CI13/Datos!CJ13," - ")</f>
        <v xml:space="preserve"> - </v>
      </c>
      <c r="BK13" s="899">
        <f>SUBTOTAL(9,BK8:BK12)</f>
        <v>0</v>
      </c>
      <c r="BL13" s="899">
        <f>IF(ISNUMBER((I13-AB13+L13)/(F13)),(I13-AB13+L13)/(F13)," - ")</f>
        <v>-0.11510791366906475</v>
      </c>
      <c r="BM13" s="904">
        <f>SUBTOTAL(9,BM9:BM12)</f>
        <v>-0.33857639335821854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3933</v>
      </c>
      <c r="G16" s="598">
        <f>IF(ISNUMBER(IF(D_I="SI",Datos!I16,Datos!I16+Datos!AC16)),IF(D_I="SI",Datos!I16,Datos!I16+Datos!AC16)," - ")</f>
        <v>3940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1324</v>
      </c>
      <c r="AC16" s="226">
        <f>IF(ISNUMBER(Datos!Q16),Datos!Q16," - ")</f>
        <v>74</v>
      </c>
      <c r="AD16" s="334"/>
      <c r="AE16" s="484"/>
      <c r="AF16" s="596">
        <f>IF(ISNUMBER(IF(D_I="SI",Datos!L16,Datos!L16+Datos!AF16)),IF(D_I="SI",Datos!L16,Datos!L16+Datos!AF16)," - ")</f>
        <v>4193</v>
      </c>
      <c r="AG16" s="334"/>
      <c r="AH16" s="334"/>
      <c r="AI16" s="334"/>
      <c r="AJ16" s="334"/>
      <c r="AK16" s="334"/>
      <c r="AL16" s="479"/>
      <c r="AM16" s="335">
        <f>IF(ISNUMBER(Datos!R16),Datos!R16," - ")</f>
        <v>380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127</v>
      </c>
      <c r="BD16" s="229">
        <f>IF(ISNUMBER(Datos!N16),Datos!N16," - ")</f>
        <v>669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0.83585858585858586</v>
      </c>
      <c r="BH16" s="260">
        <f>IF(ISNUMBER(((IF(D_I="SI",Datos!L16/Datos!K16,(Datos!L16+Datos!AF16)/(Datos!K16+Datos!AE16)))*11)/factor_trimestre),((IF(D_I="SI",Datos!L16/Datos!K16,(Datos!L16+Datos!AF16)/(Datos!K16+Datos!AE16)))*11)/factor_trimestre," - ")</f>
        <v>6.3338368580060411</v>
      </c>
      <c r="BI16" s="243">
        <f>IF(ISNUMBER('Resol  Asuntos'!D16/NºAsuntos!G16),'Resol  Asuntos'!D16/NºAsuntos!G16," - ")</f>
        <v>9.5921450151057408E-2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180</v>
      </c>
      <c r="AC17" s="226">
        <f>IF(ISNUMBER(Datos!Q17),Datos!Q17," - ")</f>
        <v>3</v>
      </c>
      <c r="AD17" s="334"/>
      <c r="AE17" s="484"/>
      <c r="AF17" s="332">
        <f>IF(ISNUMBER(Datos!L17),Datos!L17,"-")</f>
        <v>513</v>
      </c>
      <c r="AG17" s="334"/>
      <c r="AH17" s="334"/>
      <c r="AI17" s="334"/>
      <c r="AJ17" s="334"/>
      <c r="AK17" s="334"/>
      <c r="AL17" s="479"/>
      <c r="AM17" s="335">
        <f>IF(ISNUMBER(Datos!R17),Datos!R17," - ")</f>
        <v>36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5.7</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3933</v>
      </c>
      <c r="G18" s="898">
        <f>SUBTOTAL(9,G15:G17)</f>
        <v>4446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1504</v>
      </c>
      <c r="AC18" s="899">
        <f t="shared" si="4"/>
        <v>77</v>
      </c>
      <c r="AD18" s="899">
        <f t="shared" si="4"/>
        <v>0</v>
      </c>
      <c r="AE18" s="899">
        <f t="shared" si="4"/>
        <v>0</v>
      </c>
      <c r="AF18" s="899">
        <f t="shared" si="4"/>
        <v>4706</v>
      </c>
      <c r="AG18" s="899">
        <f t="shared" si="4"/>
        <v>0</v>
      </c>
      <c r="AH18" s="899">
        <f t="shared" si="4"/>
        <v>0</v>
      </c>
      <c r="AI18" s="899">
        <f t="shared" si="4"/>
        <v>0</v>
      </c>
      <c r="AJ18" s="899">
        <f t="shared" si="4"/>
        <v>0</v>
      </c>
      <c r="AK18" s="899">
        <f t="shared" si="4"/>
        <v>0</v>
      </c>
      <c r="AL18" s="899">
        <f t="shared" si="4"/>
        <v>0</v>
      </c>
      <c r="AM18" s="899">
        <f t="shared" si="4"/>
        <v>416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172</v>
      </c>
      <c r="BD18" s="899">
        <f t="shared" si="4"/>
        <v>755</v>
      </c>
      <c r="BE18" s="899">
        <f t="shared" si="4"/>
        <v>0</v>
      </c>
      <c r="BF18" s="899">
        <f t="shared" si="4"/>
        <v>0</v>
      </c>
      <c r="BG18" s="899">
        <f>IF(ISNUMBER(Datos!K18/Datos!J18),Datos!K18/Datos!J18," - ")</f>
        <v>0.85260770975056688</v>
      </c>
      <c r="BH18" s="903">
        <f>IF(ISNUMBER(((Datos!L18/Datos!K18)*11)/factor_trimestre),((Datos!L18/Datos!K18)*11)/factor_trimestre," - ")</f>
        <v>6.2579787234042552</v>
      </c>
      <c r="BI18" s="899">
        <f>SUBTOTAL(9,BI15:BI17)</f>
        <v>0.34592145015105741</v>
      </c>
      <c r="BJ18" s="899">
        <f>SUBTOTAL(9,BJ15:BJ17)</f>
        <v>0</v>
      </c>
      <c r="BK18" s="899">
        <f>SUBTOTAL(9,BK15:BK17)</f>
        <v>0</v>
      </c>
      <c r="BL18" s="899">
        <f>IF(ISNUMBER((I18-AB18+L18)/(F18)),(I18-AB18+L18)/(F18)," - ")</f>
        <v>-0.38240528858377831</v>
      </c>
      <c r="BM18" s="905">
        <f>IF(ISNUMBER((Datos!P18-Datos!Q18)/(Datos!R18-Datos!P18+Datos!Q18)),(Datos!P18-Datos!Q18)/(Datos!R18-Datos!P18+Datos!Q18)," - ")</f>
        <v>-6.0948081264108354E-2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4072</v>
      </c>
      <c r="G19" s="820">
        <f t="shared" si="6"/>
        <v>4585</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605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1520</v>
      </c>
      <c r="AC19" s="821">
        <f t="shared" si="7"/>
        <v>2052</v>
      </c>
      <c r="AD19" s="821">
        <f t="shared" si="7"/>
        <v>0</v>
      </c>
      <c r="AE19" s="821">
        <f t="shared" si="7"/>
        <v>0</v>
      </c>
      <c r="AF19" s="828">
        <f t="shared" si="7"/>
        <v>4844</v>
      </c>
      <c r="AG19" s="828">
        <f t="shared" si="7"/>
        <v>0</v>
      </c>
      <c r="AH19" s="828">
        <f t="shared" si="7"/>
        <v>294</v>
      </c>
      <c r="AI19" s="828">
        <f t="shared" si="7"/>
        <v>0</v>
      </c>
      <c r="AJ19" s="821">
        <f t="shared" si="7"/>
        <v>0</v>
      </c>
      <c r="AK19" s="828">
        <f t="shared" si="7"/>
        <v>0</v>
      </c>
      <c r="AL19" s="828">
        <f t="shared" si="7"/>
        <v>0</v>
      </c>
      <c r="AM19" s="828">
        <f t="shared" si="7"/>
        <v>12723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539</v>
      </c>
      <c r="BD19" s="820">
        <f t="shared" si="7"/>
        <v>1362</v>
      </c>
      <c r="BE19" s="820">
        <f t="shared" si="7"/>
        <v>0</v>
      </c>
      <c r="BF19" s="830">
        <f t="shared" si="7"/>
        <v>0</v>
      </c>
      <c r="BG19" s="915">
        <f>IF(ISNUMBER(Datos!K19/Datos!J19),Datos!K19/Datos!J19," - ")</f>
        <v>0.8968432919954904</v>
      </c>
      <c r="BH19" s="915">
        <f>IF(ISNUMBER(((Datos!L19/Datos!K19)*11)/factor_trimestre),((Datos!L19/Datos!K19)*11)/factor_trimestre," - ")</f>
        <v>9.4198617221873029</v>
      </c>
      <c r="BI19" s="813">
        <f>IF(ISNUMBER(Datos!J19/Datos!I19),Datos!J19/Datos!I19," - ")</f>
        <v>0.24188710117262066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-0.37328094302554027</v>
      </c>
      <c r="BM19" s="889">
        <f>IF(ISNUMBER((Datos!P19-Datos!Q19+R19)/(Datos!R19-Datos!P19+Datos!Q19-R19)),(Datos!P19-Datos!Q19+R19)/(Datos!R19-Datos!P19+Datos!Q19-R19)," - ")</f>
        <v>-0.10211714890613974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2190.4669213054399</v>
      </c>
      <c r="G21" s="552">
        <f>IF(ISNUMBER(STDEV(G8:G18)),STDEV(G8:G18),"-")</f>
        <v>2166.0686738882496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741.54972860894497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157.12118465269623</v>
      </c>
      <c r="BD21" s="551"/>
      <c r="BE21" s="551">
        <f>IF(ISNUMBER(STDEV(BE8:BE18)),STDEV(BE8:BE18),"-")</f>
        <v>0</v>
      </c>
      <c r="BF21" s="556">
        <f>IF(ISNUMBER(STDEV(BF8:BF18)),STDEV(BF8:BF18),"-")</f>
        <v>0</v>
      </c>
      <c r="BG21" s="775">
        <f>IF(ISNUMBER(STDEV(BG8:BG18)),STDEV(BG8:BG18),"-")</f>
        <v>8.8174941132661944E-2</v>
      </c>
      <c r="BH21" s="776">
        <f>IF(ISNUMBER(STDEV(BH8:BH18)),STDEV(BH8:BH18),"-")</f>
        <v>4.6269327183950004</v>
      </c>
      <c r="BI21" s="249">
        <f>IF(ISNUMBER(STDEV(BI8:BI18)),STDEV(BI8:BI18),"-")</f>
        <v>0.10366686807192181</v>
      </c>
      <c r="BJ21" s="230" t="str">
        <f>IF(ISNUMBER(BL21/BM21),BL21/BM21," - ")</f>
        <v xml:space="preserve"> - </v>
      </c>
      <c r="BK21" s="575"/>
      <c r="BL21" s="559">
        <f>IF(ISNUMBER(STDEV(BL8:BL18)),STDEV(BL8:BL18),"-")</f>
        <v>0.18900778639555688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Kl8Ag8VFVKqKtL+r5cdeex3Sb6y/pmIlnt+bz2na3mHibrzJ2rvQEBZBUcaKZJqxk+8eRUocOZx2TNA3/EfA==" saltValue="95d8fYtgqQNyMsUPzfLz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MOLINA DE SEGURA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139</v>
      </c>
      <c r="G10" s="225">
        <f>IF(ISNUMBER(Datos!I10),Datos!I10," - ")</f>
        <v>139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4</v>
      </c>
      <c r="AA10" s="332">
        <f>IF(ISNUMBER(Datos!L10),Datos!L10,"-")</f>
        <v>138</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-0.23529411764705882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1971</v>
      </c>
      <c r="AA12" s="332" t="str">
        <f>IF(ISNUMBER(IF(J_V="SI",Datos!L12,Datos!L12+Datos!AB12)-IF(Monitorios="SI",Datos!CD12,0)),
                          IF(J_V="SI",Datos!L12,Datos!L12+Datos!AB12)-IF(Monitorios="SI",Datos!CD12,0),
                          " - ")</f>
        <v xml:space="preserve"> - </v>
      </c>
      <c r="AB12" s="334"/>
      <c r="AC12" s="334"/>
      <c r="AD12" s="484"/>
      <c r="AE12" s="484">
        <f>IF(ISNUMBER(Datos!R12),Datos!R12," - ")</f>
        <v>12294</v>
      </c>
      <c r="AF12" s="229" t="str">
        <f>IF(ISNUMBER(Datos!BV12),Datos!BV12," - ")</f>
        <v xml:space="preserve"> - </v>
      </c>
      <c r="AG12" s="225" t="str">
        <f>IF(ISNUMBER(Datos!DV12),Datos!DV12," - ")</f>
        <v xml:space="preserve"> - </v>
      </c>
      <c r="AH12" s="298"/>
      <c r="AI12" s="227"/>
      <c r="AJ12" s="225">
        <f>IF(ISNUMBER(Datos!M12),Datos!M12," - ")</f>
        <v>367</v>
      </c>
      <c r="AK12" s="229">
        <f>IF(ISNUMBER(Datos!N12),Datos!N12," - ")</f>
        <v>607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11.866969869243889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-0.10328227571115974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139</v>
      </c>
      <c r="G13" s="898">
        <f>SUBTOTAL(9,G8:G12)</f>
        <v>139</v>
      </c>
      <c r="H13" s="908"/>
      <c r="I13" s="898">
        <f t="shared" ref="I13:N13" si="0">SUBTOTAL(9,I8:I12)</f>
        <v>0</v>
      </c>
      <c r="J13" s="867">
        <f t="shared" si="0"/>
        <v>0</v>
      </c>
      <c r="K13" s="908">
        <f t="shared" si="0"/>
        <v>0</v>
      </c>
      <c r="L13" s="908">
        <f t="shared" si="0"/>
        <v>0</v>
      </c>
      <c r="M13" s="908">
        <f t="shared" si="0"/>
        <v>0</v>
      </c>
      <c r="N13" s="908">
        <f t="shared" si="0"/>
        <v>555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1975</v>
      </c>
      <c r="AA13" s="900">
        <f t="shared" si="2"/>
        <v>138</v>
      </c>
      <c r="AB13" s="900">
        <f t="shared" si="2"/>
        <v>0</v>
      </c>
      <c r="AC13" s="900">
        <f t="shared" si="2"/>
        <v>0</v>
      </c>
      <c r="AD13" s="900">
        <f t="shared" si="2"/>
        <v>0</v>
      </c>
      <c r="AE13" s="900">
        <f t="shared" si="2"/>
        <v>12307</v>
      </c>
      <c r="AF13" s="908">
        <f t="shared" si="2"/>
        <v>0</v>
      </c>
      <c r="AG13" s="908">
        <f t="shared" si="2"/>
        <v>0</v>
      </c>
      <c r="AH13" s="908">
        <f t="shared" si="2"/>
        <v>0</v>
      </c>
      <c r="AI13" s="908">
        <f t="shared" si="2"/>
        <v>0</v>
      </c>
      <c r="AJ13" s="908">
        <f t="shared" si="2"/>
        <v>367</v>
      </c>
      <c r="AK13" s="908">
        <f t="shared" si="2"/>
        <v>607</v>
      </c>
      <c r="AL13" s="908">
        <f t="shared" si="2"/>
        <v>0</v>
      </c>
      <c r="AM13" s="908">
        <f t="shared" si="2"/>
        <v>0</v>
      </c>
      <c r="AN13" s="908">
        <f t="shared" si="2"/>
        <v>0</v>
      </c>
      <c r="AO13" s="904">
        <f>IF(ISNUMBER(((NºAsuntos!I13/NºAsuntos!G13)*11)/factor_trimestre),((NºAsuntos!I13/NºAsuntos!G13)*11)/factor_trimestre," - ")</f>
        <v>11.915492957746478</v>
      </c>
      <c r="AP13" s="910" t="str">
        <f>IF(ISNUMBER(Datos!CI13/Datos!CJ13),Datos!CI13/Datos!CJ13," - ")</f>
        <v xml:space="preserve"> - </v>
      </c>
      <c r="AQ13" s="928">
        <f t="shared" ref="AQ13:AV13" si="3">SUBTOTAL(9,AQ9:AQ12)</f>
        <v>0</v>
      </c>
      <c r="AR13" s="928">
        <f t="shared" si="3"/>
        <v>-0.33857639335821854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3933</v>
      </c>
      <c r="G16" s="225">
        <f>IF(ISNUMBER(IF(D_I="SI",Datos!I16,Datos!I16+Datos!AC16)),IF(D_I="SI",Datos!I16,Datos!I16+Datos!AC16)," - ")</f>
        <v>3940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1324</v>
      </c>
      <c r="Z16" s="619">
        <f>IF(ISNUMBER(Datos!Q16),Datos!Q16," - ")</f>
        <v>74</v>
      </c>
      <c r="AA16" s="332">
        <f>IF(ISNUMBER(IF(D_I="SI",Datos!L16,Datos!L16+Datos!AF16)),IF(D_I="SI",Datos!L16,Datos!L16+Datos!AF16)," - ")</f>
        <v>4193</v>
      </c>
      <c r="AB16" s="334"/>
      <c r="AC16" s="334"/>
      <c r="AD16" s="484"/>
      <c r="AE16" s="484">
        <f>IF(ISNUMBER(Datos!R16),Datos!R16," - ")</f>
        <v>380</v>
      </c>
      <c r="AF16" s="229" t="str">
        <f>IF(ISNUMBER(Datos!BV16),Datos!BV16," - ")</f>
        <v xml:space="preserve"> - </v>
      </c>
      <c r="AG16" s="225"/>
      <c r="AH16" s="298"/>
      <c r="AI16" s="227"/>
      <c r="AJ16" s="225">
        <f>IF(ISNUMBER(Datos!M16),Datos!M16," - ")</f>
        <v>127</v>
      </c>
      <c r="AK16" s="229">
        <f>IF(ISNUMBER(Datos!N16),Datos!N16," - ")</f>
        <v>669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6.3338368580060411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180</v>
      </c>
      <c r="Z17" s="619">
        <f>IF(ISNUMBER(Datos!Q17),Datos!Q17," - ")</f>
        <v>3</v>
      </c>
      <c r="AA17" s="332">
        <f>IF(ISNUMBER(Datos!L17),Datos!L17,"-")</f>
        <v>513</v>
      </c>
      <c r="AB17" s="334"/>
      <c r="AC17" s="334"/>
      <c r="AD17" s="484"/>
      <c r="AE17" s="484">
        <f>IF(ISNUMBER(Datos!R17),Datos!R17," - ")</f>
        <v>36</v>
      </c>
      <c r="AF17" s="229" t="str">
        <f>IF(ISNUMBER(Datos!BV17),Datos!BV17," - ")</f>
        <v xml:space="preserve"> - </v>
      </c>
      <c r="AG17" s="225" t="str">
        <f>IF(ISNUMBER(Datos!DV17),Datos!DV17," - ")</f>
        <v xml:space="preserve"> - </v>
      </c>
      <c r="AH17" s="298"/>
      <c r="AI17" s="227"/>
      <c r="AJ17" s="225">
        <f>IF(ISNUMBER(Datos!M17),Datos!M17," - ")</f>
        <v>45</v>
      </c>
      <c r="AK17" s="229">
        <f>IF(ISNUMBER(Datos!N17),Datos!N17," - ")</f>
        <v>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3933</v>
      </c>
      <c r="G18" s="898">
        <f>SUBTOTAL(9,G15:G17)</f>
        <v>4446</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1504</v>
      </c>
      <c r="Z18" s="932">
        <f t="shared" si="5"/>
        <v>77</v>
      </c>
      <c r="AA18" s="932">
        <f t="shared" si="5"/>
        <v>4706</v>
      </c>
      <c r="AB18" s="932">
        <f t="shared" si="5"/>
        <v>0</v>
      </c>
      <c r="AC18" s="932">
        <f t="shared" si="5"/>
        <v>0</v>
      </c>
      <c r="AD18" s="932">
        <f t="shared" si="5"/>
        <v>0</v>
      </c>
      <c r="AE18" s="932">
        <f t="shared" si="5"/>
        <v>416</v>
      </c>
      <c r="AF18" s="932">
        <f t="shared" si="5"/>
        <v>0</v>
      </c>
      <c r="AG18" s="932">
        <f t="shared" si="5"/>
        <v>0</v>
      </c>
      <c r="AH18" s="932">
        <f t="shared" si="5"/>
        <v>0</v>
      </c>
      <c r="AI18" s="932">
        <f t="shared" si="5"/>
        <v>0</v>
      </c>
      <c r="AJ18" s="932">
        <f t="shared" si="5"/>
        <v>172</v>
      </c>
      <c r="AK18" s="932">
        <f t="shared" si="5"/>
        <v>755</v>
      </c>
      <c r="AL18" s="932">
        <f t="shared" si="5"/>
        <v>0</v>
      </c>
      <c r="AM18" s="932">
        <f t="shared" si="5"/>
        <v>0</v>
      </c>
      <c r="AN18" s="932">
        <f t="shared" si="5"/>
        <v>0</v>
      </c>
      <c r="AO18" s="934">
        <f>IF(ISNUMBER(((NºAsuntos!I18/NºAsuntos!G18)*11)/factor_trimestre),((NºAsuntos!I18/NºAsuntos!G18)*11)/factor_trimestre," - ")</f>
        <v>6.2579787234042552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4072</v>
      </c>
      <c r="G19" s="820">
        <f t="shared" si="7"/>
        <v>4585</v>
      </c>
      <c r="H19" s="821">
        <f t="shared" si="7"/>
        <v>0</v>
      </c>
      <c r="I19" s="820">
        <f t="shared" si="7"/>
        <v>0</v>
      </c>
      <c r="J19" s="822">
        <f t="shared" si="7"/>
        <v>0</v>
      </c>
      <c r="K19" s="820">
        <f t="shared" si="7"/>
        <v>0</v>
      </c>
      <c r="L19" s="823">
        <f t="shared" si="7"/>
        <v>0</v>
      </c>
      <c r="M19" s="820">
        <f t="shared" si="7"/>
        <v>0</v>
      </c>
      <c r="N19" s="821">
        <f t="shared" si="7"/>
        <v>605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1520</v>
      </c>
      <c r="Z19" s="827">
        <f t="shared" si="8"/>
        <v>2052</v>
      </c>
      <c r="AA19" s="828">
        <f t="shared" si="8"/>
        <v>4844</v>
      </c>
      <c r="AB19" s="828">
        <f t="shared" si="8"/>
        <v>0</v>
      </c>
      <c r="AC19" s="828">
        <f t="shared" si="8"/>
        <v>0</v>
      </c>
      <c r="AD19" s="829">
        <f t="shared" si="8"/>
        <v>0</v>
      </c>
      <c r="AE19" s="829">
        <f t="shared" si="8"/>
        <v>12723</v>
      </c>
      <c r="AF19" s="830">
        <f t="shared" si="8"/>
        <v>0</v>
      </c>
      <c r="AG19" s="831">
        <f t="shared" si="8"/>
        <v>0</v>
      </c>
      <c r="AH19" s="832">
        <f t="shared" si="8"/>
        <v>0</v>
      </c>
      <c r="AI19" s="830">
        <f t="shared" si="8"/>
        <v>0</v>
      </c>
      <c r="AJ19" s="820">
        <f t="shared" si="8"/>
        <v>539</v>
      </c>
      <c r="AK19" s="820">
        <f t="shared" si="8"/>
        <v>1362</v>
      </c>
      <c r="AL19" s="820">
        <f t="shared" si="8"/>
        <v>0</v>
      </c>
      <c r="AM19" s="833">
        <f t="shared" si="8"/>
        <v>0</v>
      </c>
      <c r="AN19" s="823">
        <f>IF(ISNUMBER(Datos!K19/Datos!J19),Datos!K19/Datos!J19," - ")</f>
        <v>0.8968432919954904</v>
      </c>
      <c r="AO19" s="823">
        <f>IF(ISNUMBER(FIND("06",Criterios!A8,1)),(IF(ISNUMBER(((Datos!R19/Datos!Q19)*11)/factor_trimestre),((Datos!R19/Datos!Q19)*11)/factor_trimestre," - ")),(IF(ISNUMBER(((Datos!L19/Datos!K19)*11)/factor_trimestre),((Datos!L19/Datos!K19)*11)/factor_trimestre," - ")))</f>
        <v>9.4198617221873029</v>
      </c>
      <c r="AP19" s="834" t="str">
        <f>IF(ISNUMBER(Datos!CI19/Datos!CJ19),Datos!CI19/Datos!CJ19," - ")</f>
        <v xml:space="preserve"> - </v>
      </c>
      <c r="AQ19" s="834">
        <f>IF(OR(ISNUMBER(FIND("01",Criterios!A8,1)),ISNUMBER(FIND("02",Criterios!A8,1)),ISNUMBER(FIND("03",Criterios!A8,1)),ISNUMBER(FIND("04",Criterios!A8,1))),(J19-Y19+K19)/(F19-K19),(I19-Y19+K19)/(F19-K19))</f>
        <v>-0.37328094302554027</v>
      </c>
      <c r="AR19" s="834">
        <f>IF(ISNUMBER((Datos!P19-Datos!Q19+O19)/(Datos!R19-Datos!P19+Datos!Q19-O19)),(Datos!P19-Datos!Q19+O19)/(Datos!R19-Datos!P19+Datos!Q19-O19)," - ")</f>
        <v>-0.10211714890613974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2190.4669213054399</v>
      </c>
      <c r="G21" s="552">
        <f>IF(ISNUMBER(STDEV(G8:G18)),STDEV(G8:G18),"-")</f>
        <v>2166.0686738882496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157.12118465269623</v>
      </c>
      <c r="AK21" s="252"/>
      <c r="AL21" s="252">
        <f>IF(ISNUMBER(STDEV(AL8:AL18)),STDEV(AL8:AL18),"-")</f>
        <v>0</v>
      </c>
      <c r="AM21" s="254">
        <f>IF(ISNUMBER(STDEV(AM8:AM18)),STDEV(AM8:AM18),"-")</f>
        <v>0</v>
      </c>
      <c r="AN21" s="539">
        <f>IF(ISNUMBER(STDEV(AN8:AN18)),STDEV(AN8:AN18),"-")</f>
        <v>0</v>
      </c>
      <c r="AO21" s="540">
        <f>IF(ISNUMBER(STDEV(AO8:AO18)),STDEV(AO8:AO18),"-")</f>
        <v>4.5950966309134094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DxgV0XCG3wpyYXiKffa/SY5GkfW8uVBn2viC5Xdi/i4mFloykuJi2kgnZ75uuq5zEXtB5VXvYe+PKsPhkZrBw==" saltValue="5T3DgCYZcna7R0o0mztG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ed3RkyCNozUmTp4nDdYq5KdV4lTqbCMGPOknTgUEHPwHFEtfURpqEMvsoAMXWVPjb+HKyEKF3vQGmUR69W6GA==" saltValue="ScLiRyW1oTEy/Ry90sS9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g/+NfWWJjMAM/0+vw/ypvJZJMuWAJNOuIXNNWFQtnbb+QOr/czogbLobt/kKa/zgBoWbsPR0wDkkqKaZ5fKQ==" saltValue="e4K3e9bjJJvuRw2ZI4DqI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MOLINA DE SEGURA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0.2067605633802817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0.14620179644814815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YthU769iymXQX0bFy+fQyRwuji+sJKvN/iMUbyU6iVDlzKxCYTiQaPms8lH/I1RcUhMEFPUoDKhDGf99gLfkQ==" saltValue="u0kvwy/8np/XIF59jfSH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9QcIY/Duka/qJG2PKA5z9I2cN65D1ZOX4ChLmLN17uQk/i9Q8vKULkEwvOIPxIspSAOfuDY+vPDJrob1BQvVw==" saltValue="+DcpiOHZI8c6W++3ogj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MOLINA DE SEGURA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139</v>
      </c>
      <c r="D10" s="404">
        <f>IF(ISNUMBER(C10/Datos!BH10),C10/Datos!BH10," - ")</f>
        <v>139</v>
      </c>
      <c r="E10" s="403">
        <f>IF(ISNUMBER(Datos!J10),Datos!J10," - ")</f>
        <v>15</v>
      </c>
      <c r="F10" s="404">
        <f>IF(ISNUMBER(E10/B10),E10/B10," - ")</f>
        <v>15</v>
      </c>
      <c r="G10" s="403">
        <f>IF(ISNUMBER(Datos!K10),Datos!K10," - ")</f>
        <v>16</v>
      </c>
      <c r="H10" s="404">
        <f>IF(ISNUMBER(G10/B10),G10/B10," - ")</f>
        <v>16</v>
      </c>
      <c r="I10" s="403">
        <f>IF(ISNUMBER(Datos!L10),Datos!L10," - ")</f>
        <v>138</v>
      </c>
      <c r="J10" s="404">
        <f>IF(ISNUMBER(I10/B10),I10/B10," - ")</f>
        <v>138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10431</v>
      </c>
      <c r="D12" s="404">
        <f>IF(ISNUMBER(C12/Datos!BH12),C12/Datos!BH12," - ")</f>
        <v>1490.1428571428571</v>
      </c>
      <c r="E12" s="403">
        <f>IF(ISNUMBER(IF(J_V="SI",Datos!J12,Datos!J12+Datos!Z12)),IF(J_V="SI",Datos!J12,Datos!J12+Datos!Z12)," - ")</f>
        <v>1815</v>
      </c>
      <c r="F12" s="404">
        <f>IF(ISNUMBER(E12/B12),E12/B12," - ")</f>
        <v>259.28571428571428</v>
      </c>
      <c r="G12" s="403">
        <f>IF(ISNUMBER(IF(J_V="SI",Datos!K12,Datos!K12+Datos!AA12)),IF(J_V="SI",Datos!K12,Datos!K12+Datos!AA12)," - ")</f>
        <v>1759</v>
      </c>
      <c r="H12" s="404">
        <f>IF(ISNUMBER(G12/B12),G12/B12," - ")</f>
        <v>251.28571428571428</v>
      </c>
      <c r="I12" s="403">
        <f>IF(ISNUMBER(IF(J_V="SI",Datos!L12,Datos!L12+Datos!AB12)),IF(J_V="SI",Datos!L12,Datos!L12+Datos!AB12)," - ")</f>
        <v>10437</v>
      </c>
      <c r="J12" s="404">
        <f>IF(ISNUMBER(I12/B12),I12/B12," - ")</f>
        <v>1491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10570</v>
      </c>
      <c r="D13" s="850" t="str">
        <f>IF(ISNUMBER(C13/Datos!BI13),C13/Datos!BI13," - ")</f>
        <v xml:space="preserve"> - </v>
      </c>
      <c r="E13" s="849">
        <f>SUBTOTAL(9,E8:E12)</f>
        <v>1830</v>
      </c>
      <c r="F13" s="850">
        <f>IF(ISNUMBER(E13/B13),E13/B13," - ")</f>
        <v>261.42857142857144</v>
      </c>
      <c r="G13" s="849">
        <f>SUBTOTAL(9,G8:G12)</f>
        <v>1775</v>
      </c>
      <c r="H13" s="850">
        <f>IF(ISNUMBER(G13/B13),G13/B13," - ")</f>
        <v>253.57142857142858</v>
      </c>
      <c r="I13" s="849">
        <f>SUBTOTAL(9,I8:I12)</f>
        <v>10575</v>
      </c>
      <c r="J13" s="850">
        <f>IF(ISNUMBER(I13/B13),I13/B13," - ")</f>
        <v>1510.7142857142858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3940</v>
      </c>
      <c r="D16" s="404">
        <f>IF(ISNUMBER(C16/Datos!BH16),C16/Datos!BH16," - ")</f>
        <v>562.85714285714289</v>
      </c>
      <c r="E16" s="403">
        <f>IF(ISNUMBER(IF(D_I="SI",Datos!J16,Datos!J16+Datos!AD16)),IF(D_I="SI",Datos!J16,Datos!J16+Datos!AD16)," - ")</f>
        <v>1584</v>
      </c>
      <c r="F16" s="404">
        <f>IF(ISNUMBER(E16/B16),E16/B16," - ")</f>
        <v>226.28571428571428</v>
      </c>
      <c r="G16" s="403">
        <f>IF(ISNUMBER(IF(D_I="SI",Datos!K16,Datos!K16+Datos!AE16)),IF(D_I="SI",Datos!K16,Datos!K16+Datos!AE16)," - ")</f>
        <v>1324</v>
      </c>
      <c r="H16" s="404">
        <f>IF(ISNUMBER(G16/B16),G16/B16," - ")</f>
        <v>189.14285714285714</v>
      </c>
      <c r="I16" s="403">
        <f>IF(ISNUMBER(IF(D_I="SI",Datos!L16,Datos!L16+Datos!AF16)),IF(D_I="SI",Datos!L16,Datos!L16+Datos!AF16)," - ")</f>
        <v>4193</v>
      </c>
      <c r="J16" s="404">
        <f>IF(ISNUMBER(I16/B16),I16/B16," - ")</f>
        <v>599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506</v>
      </c>
      <c r="D17" s="404">
        <f>IF(ISNUMBER(C17/Datos!BH17),C17/Datos!BH17," - ")</f>
        <v>506</v>
      </c>
      <c r="E17" s="403">
        <f>IF(ISNUMBER(IF(D_I="SI",Datos!J17,Datos!J17+Datos!AD17)),IF(D_I="SI",Datos!J17,Datos!J17+Datos!AD17)," - ")</f>
        <v>180</v>
      </c>
      <c r="F17" s="404">
        <f>IF(ISNUMBER(E17/B17),E17/B17," - ")</f>
        <v>180</v>
      </c>
      <c r="G17" s="403">
        <f>IF(ISNUMBER(IF(D_I="SI",Datos!K17,Datos!K17+Datos!AE17)),IF(D_I="SI",Datos!K17,Datos!K17+Datos!AE17)," - ")</f>
        <v>180</v>
      </c>
      <c r="H17" s="404">
        <f>IF(ISNUMBER(G17/B17),G17/B17," - ")</f>
        <v>180</v>
      </c>
      <c r="I17" s="403">
        <f>IF(ISNUMBER(IF(D_I="SI",Datos!L17,Datos!L17+Datos!AF17)),IF(D_I="SI",Datos!L17,Datos!L17+Datos!AF17)," - ")</f>
        <v>513</v>
      </c>
      <c r="J17" s="404">
        <f>IF(ISNUMBER(I17/B17),I17/B17," - ")</f>
        <v>513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4446</v>
      </c>
      <c r="D18" s="850" t="str">
        <f>IF(ISNUMBER(C18/Datos!BI18),C18/Datos!BI18," - ")</f>
        <v xml:space="preserve"> - </v>
      </c>
      <c r="E18" s="849">
        <f>SUBTOTAL(9,E14:E17)</f>
        <v>1764</v>
      </c>
      <c r="F18" s="850">
        <f>IF(ISNUMBER(E18/B18),E18/B18," - ")</f>
        <v>252</v>
      </c>
      <c r="G18" s="849">
        <f>SUBTOTAL(9,G14:G17)</f>
        <v>1504</v>
      </c>
      <c r="H18" s="850">
        <f>IF(ISNUMBER(G18/B18),G18/B18," - ")</f>
        <v>214.85714285714286</v>
      </c>
      <c r="I18" s="849">
        <f>SUBTOTAL(9,I14:I17)</f>
        <v>4706</v>
      </c>
      <c r="J18" s="850">
        <f>IF(ISNUMBER(I18/B18),I18/B18," - ")</f>
        <v>672.28571428571433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15016</v>
      </c>
      <c r="D19" s="795" t="str">
        <f>IF(ISNUMBER(C19/Datos!BI19),C19/Datos!BI19," - ")</f>
        <v xml:space="preserve"> - </v>
      </c>
      <c r="E19" s="794">
        <f>SUBTOTAL(9,E9:E18)</f>
        <v>3594</v>
      </c>
      <c r="F19" s="795">
        <f>IF(ISNUMBER(E19/B19),E19/B19," - ")</f>
        <v>513.42857142857144</v>
      </c>
      <c r="G19" s="794">
        <f>SUBTOTAL(9,G9:G18)</f>
        <v>3279</v>
      </c>
      <c r="H19" s="795">
        <f>IF(ISNUMBER(G19/B19),G19/B19," - ")</f>
        <v>468.42857142857144</v>
      </c>
      <c r="I19" s="794">
        <f>SUBTOTAL(9,I9:I18)</f>
        <v>15281</v>
      </c>
      <c r="J19" s="795">
        <f>IF(ISNUMBER(I19/B19),I19/B19," - ")</f>
        <v>2183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YVyDW4tUZVedMYdJgK/d3MoAkqxXiZRGXVNndnNq84o4ytfLbeJhNHuSW+LQKgH6XgZh1RIo5Ssl1W6z3TTeQ==" saltValue="eyqs3zuAJAQz6OtG7XFE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MOLINA DE SEGURA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139</v>
      </c>
      <c r="G10" s="684">
        <f>IF(ISNUMBER(Datos!I10),Datos!I10," - ")</f>
        <v>139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138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17.25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12294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367</v>
      </c>
      <c r="AM12" s="690">
        <f>IF(ISNUMBER(Datos!N12+DatosP!N16),Datos!N12+DatosP!N16," - ")</f>
        <v>607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11.866969869243889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-0.10328227571115974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139</v>
      </c>
      <c r="G13" s="938">
        <f t="shared" si="0"/>
        <v>139</v>
      </c>
      <c r="H13" s="938">
        <f t="shared" si="0"/>
        <v>0</v>
      </c>
      <c r="I13" s="940">
        <f t="shared" si="0"/>
        <v>0</v>
      </c>
      <c r="J13" s="939">
        <f t="shared" si="0"/>
        <v>0</v>
      </c>
      <c r="K13" s="939">
        <f t="shared" si="0"/>
        <v>0</v>
      </c>
      <c r="L13" s="941">
        <f t="shared" si="0"/>
        <v>0</v>
      </c>
      <c r="M13" s="941">
        <f t="shared" si="0"/>
        <v>0</v>
      </c>
      <c r="N13" s="939">
        <f t="shared" si="0"/>
        <v>555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1971</v>
      </c>
      <c r="AE13" s="939">
        <f t="shared" si="1"/>
        <v>0</v>
      </c>
      <c r="AF13" s="939">
        <f t="shared" si="1"/>
        <v>138</v>
      </c>
      <c r="AG13" s="939">
        <f t="shared" si="1"/>
        <v>0</v>
      </c>
      <c r="AH13" s="939">
        <f t="shared" si="1"/>
        <v>12294</v>
      </c>
      <c r="AI13" s="939">
        <f t="shared" si="1"/>
        <v>0</v>
      </c>
      <c r="AJ13" s="939">
        <f t="shared" si="1"/>
        <v>0</v>
      </c>
      <c r="AK13" s="939">
        <f t="shared" si="1"/>
        <v>0</v>
      </c>
      <c r="AL13" s="939">
        <f t="shared" si="1"/>
        <v>367</v>
      </c>
      <c r="AM13" s="939">
        <f t="shared" si="1"/>
        <v>607</v>
      </c>
      <c r="AN13" s="939">
        <f t="shared" si="1"/>
        <v>0</v>
      </c>
      <c r="AO13" s="939">
        <f t="shared" si="1"/>
        <v>0</v>
      </c>
      <c r="AP13" s="944">
        <f>IF(ISNUMBER(((Datos!L13/Datos!K13)*11)/factor_trimestre),((Datos!L13/Datos!K13)*11)/factor_trimestre," - ")</f>
        <v>12.253873659117998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-0.11510791366906475</v>
      </c>
      <c r="AU13" s="939" t="str">
        <f>IF(ISNUMBER((DatosP!#REF!-DatosP!#REF!+DatosP!#REF!)/(DatosP!#REF!+DatosP!#REF!-DatosP!#REF!-DatosP!#REF!)),(DatosP!#REF!-DatosP!#REF!+DatosP!#REF!)/(DatosP!#REF!+DatosP!#REF!-DatosP!#REF!-DatosP!#REF!)," - ")</f>
        <v xml:space="preserve"> - </v>
      </c>
      <c r="AV13" s="945">
        <f>SUBTOTAL(9,AV9:AV12)</f>
        <v>-0.10328227571115974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6.2579787234042552</v>
      </c>
      <c r="AQ18" s="944">
        <f>IF(ISNUMBER(((Datos!M18/Datos!L18)*11)/factor_trimestre),((Datos!M18/Datos!L18)*11)/factor_trimestre," - ")</f>
        <v>7.309817254568636E-2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-6.0948081264108354E-2</v>
      </c>
      <c r="AW18" s="946">
        <f>IF(ISNUMBER((Datos!Q18-Datos!R18)/(Datos!S18-Datos!Q18+Datos!R18)),(Datos!Q18-Datos!R18)/(Datos!S18-Datos!Q18+Datos!R18)," - ")</f>
        <v>-7.2528883183568676E-2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139</v>
      </c>
      <c r="G19" s="951">
        <f t="shared" si="4"/>
        <v>139</v>
      </c>
      <c r="H19" s="951">
        <f t="shared" si="4"/>
        <v>0</v>
      </c>
      <c r="I19" s="952">
        <f t="shared" si="4"/>
        <v>0</v>
      </c>
      <c r="J19" s="953">
        <f t="shared" si="4"/>
        <v>0</v>
      </c>
      <c r="K19" s="953">
        <f t="shared" si="4"/>
        <v>0</v>
      </c>
      <c r="L19" s="953">
        <f t="shared" si="4"/>
        <v>0</v>
      </c>
      <c r="M19" s="953">
        <f t="shared" si="4"/>
        <v>0</v>
      </c>
      <c r="N19" s="952">
        <f t="shared" si="4"/>
        <v>555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1971</v>
      </c>
      <c r="AE19" s="957">
        <f t="shared" si="5"/>
        <v>0</v>
      </c>
      <c r="AF19" s="958">
        <f t="shared" si="5"/>
        <v>138</v>
      </c>
      <c r="AG19" s="958">
        <f t="shared" si="5"/>
        <v>0</v>
      </c>
      <c r="AH19" s="958">
        <f t="shared" si="5"/>
        <v>12294</v>
      </c>
      <c r="AI19" s="958">
        <f t="shared" si="5"/>
        <v>0</v>
      </c>
      <c r="AJ19" s="959">
        <f t="shared" si="5"/>
        <v>0</v>
      </c>
      <c r="AK19" s="959">
        <f t="shared" si="5"/>
        <v>0</v>
      </c>
      <c r="AL19" s="951">
        <f t="shared" si="5"/>
        <v>367</v>
      </c>
      <c r="AM19" s="951">
        <f t="shared" si="5"/>
        <v>607</v>
      </c>
      <c r="AN19" s="951">
        <f t="shared" si="5"/>
        <v>0</v>
      </c>
      <c r="AO19" s="951">
        <f t="shared" si="5"/>
        <v>0</v>
      </c>
      <c r="AP19" s="951">
        <f>IF(ISNUMBER(((Datos!L19/Datos!K19)*11)/factor_trimestre),((Datos!L19/Datos!K19)*11)/factor_trimestre," - ")</f>
        <v>9.4198617221873029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-0.11510791366906475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-0.10211714890613974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80.251687417357985</v>
      </c>
      <c r="G21" s="737">
        <f>IF(ISNUMBER(STDEV(G8:G18)),STDEV(G8:G18),"-")</f>
        <v>80.251687417357985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211.88754879259267</v>
      </c>
      <c r="AM21" s="736"/>
      <c r="AN21" s="736">
        <f>IF(ISNUMBER(STDEV(AN8:AN18)),STDEV(AN8:AN18),"-")</f>
        <v>0</v>
      </c>
      <c r="AO21" s="742">
        <f>IF(ISNUMBER(STDEV(AO8:AO18)),STDEV(AO8:AO18),"-")</f>
        <v>0</v>
      </c>
      <c r="AP21" s="779">
        <f>IF(ISNUMBER(STDEV(AP8:AP18)),STDEV(AP8:AP18),"-")</f>
        <v>4.4937368993287023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qYWV7YcGTf4QjIIkxkeD0PLp6YixdVhMgjyvnCfdSfwRCmhSRC5xiSc8RLmrEluMmDf8bgq3Fzc4NAmqKXKFQ==" saltValue="xcNfPC2WZW7zWj58f9M7y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MOLINA DE SEGURA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g3lFtLNWys6NbMwjt6mu7PiCy3j27ixC+Nzx6q3jJHraFe+kytoqrhI50gi1DXPd8oxjU1xIwQ4RLoR5z+SAg==" saltValue="PiLrARstLe5vobzso2E0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MOLINA DE SEGURA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367</v>
      </c>
      <c r="E12" s="404">
        <f t="shared" si="0"/>
        <v>52.428571428571431</v>
      </c>
      <c r="F12" s="403">
        <f>IF(ISNUMBER(Datos!N12),Datos!N12," - ")</f>
        <v>607</v>
      </c>
      <c r="G12" s="404">
        <f t="shared" si="1"/>
        <v>86.714285714285708</v>
      </c>
      <c r="H12" s="403">
        <f>IF(ISNUMBER(Datos!O12),Datos!O12," - ")</f>
        <v>1016</v>
      </c>
      <c r="I12" s="404">
        <f t="shared" si="2"/>
        <v>145.14285714285714</v>
      </c>
      <c r="BZ12" s="1186">
        <f>Datos!EZ12</f>
        <v>0</v>
      </c>
    </row>
    <row r="13" spans="1:78" ht="14.25" thickTop="1" thickBot="1">
      <c r="A13" s="848" t="str">
        <f>Datos!A13</f>
        <v>TOTAL</v>
      </c>
      <c r="B13" s="849">
        <f>Datos!AP13</f>
        <v>7</v>
      </c>
      <c r="C13" s="851">
        <f>Datos!AR13</f>
        <v>7</v>
      </c>
      <c r="D13" s="849">
        <f>SUBTOTAL(9,D9:D12)</f>
        <v>367</v>
      </c>
      <c r="E13" s="850">
        <f t="shared" si="0"/>
        <v>52.428571428571431</v>
      </c>
      <c r="F13" s="849">
        <f>SUBTOTAL(9,F9:F12)</f>
        <v>607</v>
      </c>
      <c r="G13" s="850">
        <f t="shared" si="1"/>
        <v>86.714285714285708</v>
      </c>
      <c r="H13" s="849">
        <f>SUBTOTAL(9,H9:H12)</f>
        <v>1016</v>
      </c>
      <c r="I13" s="850">
        <f>IF(ISNUMBER(H13/B13),H13/B13," - ")</f>
        <v>145.14285714285714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127</v>
      </c>
      <c r="E16" s="404">
        <f t="shared" si="3"/>
        <v>18.142857142857142</v>
      </c>
      <c r="F16" s="403">
        <f>IF(ISNUMBER(Datos!N16),Datos!N16," - ")</f>
        <v>669</v>
      </c>
      <c r="G16" s="404">
        <f t="shared" si="4"/>
        <v>95.571428571428569</v>
      </c>
      <c r="H16" s="403">
        <f>IF(ISNUMBER(Datos!O16),Datos!O16," - ")</f>
        <v>40</v>
      </c>
      <c r="I16" s="404">
        <f t="shared" si="5"/>
        <v>5.7142857142857144</v>
      </c>
      <c r="BZ16" s="1186">
        <f>Datos!EZ16</f>
        <v>0</v>
      </c>
    </row>
    <row r="17" spans="1:78" ht="13.5" thickBot="1">
      <c r="A17" s="402" t="str">
        <f>Datos!A17</f>
        <v>Jdos. Violencia contra la mujer</v>
      </c>
      <c r="B17" s="427">
        <f>Datos!AO17</f>
        <v>1</v>
      </c>
      <c r="C17" s="428">
        <f>Datos!AQ17</f>
        <v>0</v>
      </c>
      <c r="D17" s="403">
        <f>IF(ISNUMBER(Datos!M17),Datos!M17," - ")</f>
        <v>45</v>
      </c>
      <c r="E17" s="404">
        <f>IF(ISNUMBER(D17/B17),D17/B17," - ")</f>
        <v>45</v>
      </c>
      <c r="F17" s="403">
        <f>IF(ISNUMBER(Datos!N17),Datos!N17," - ")</f>
        <v>86</v>
      </c>
      <c r="G17" s="404">
        <f>IF(ISNUMBER(F17/B17),F17/B17," - ")</f>
        <v>86</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172</v>
      </c>
      <c r="E18" s="850">
        <f t="shared" si="3"/>
        <v>24.571428571428573</v>
      </c>
      <c r="F18" s="849">
        <f>SUBTOTAL(9,F15:F17)</f>
        <v>755</v>
      </c>
      <c r="G18" s="850">
        <f t="shared" si="4"/>
        <v>107.85714285714286</v>
      </c>
      <c r="H18" s="849">
        <f>SUBTOTAL(9,H15:H17)</f>
        <v>40</v>
      </c>
      <c r="I18" s="850">
        <f>IF(ISNUMBER(H18/B18),H18/B18," - ")</f>
        <v>5.7142857142857144</v>
      </c>
      <c r="BZ18" s="1186"/>
    </row>
    <row r="19" spans="1:78" ht="14.25" thickTop="1" thickBot="1">
      <c r="A19" s="793" t="str">
        <f>Datos!A19</f>
        <v>TOTAL JURISDICCIONES</v>
      </c>
      <c r="B19" s="794">
        <f>Datos!AP19</f>
        <v>7</v>
      </c>
      <c r="C19" s="794">
        <f>Datos!AR19</f>
        <v>7</v>
      </c>
      <c r="D19" s="794">
        <f>SUBTOTAL(9,D8:D18)</f>
        <v>539</v>
      </c>
      <c r="E19" s="795">
        <f>IF(ISNUMBER(D19/B19),D19/B19," - ")</f>
        <v>77</v>
      </c>
      <c r="F19" s="794">
        <f>SUBTOTAL(9,F8:F18)</f>
        <v>1362</v>
      </c>
      <c r="G19" s="795">
        <f>IF(ISNUMBER(F19/B19),F19/B19," - ")</f>
        <v>194.57142857142858</v>
      </c>
      <c r="H19" s="794">
        <f>SUBTOTAL(9,H8:H18)</f>
        <v>1056</v>
      </c>
      <c r="I19" s="795">
        <f>IF(ISNUMBER(H19/B19),H19/B19," - ")</f>
        <v>150.85714285714286</v>
      </c>
    </row>
    <row r="22" spans="1:78">
      <c r="A22" s="391" t="str">
        <f>Criterios!A4</f>
        <v>Fecha Informe: 29 nov. 2024</v>
      </c>
    </row>
    <row r="27" spans="1:78">
      <c r="A27" s="414"/>
    </row>
  </sheetData>
  <sheetProtection algorithmName="SHA-512" hashValue="nkRrpsxMV6mdReWPp9JbquGbGZHy8WOO7yBHa+jqn5oZCBN6n/LFepW40z7ODMIg+L6KLIvuDU6+o+7ZyfHnxw==" saltValue="gf1gB+LxFXafsqcv7n+p3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MOLINA DE SEGURA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4</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555</v>
      </c>
      <c r="C12" s="434">
        <f>IF(ISNUMBER(Datos!Q12),Datos!Q12," - ")</f>
        <v>1971</v>
      </c>
      <c r="D12" s="408">
        <f>IF(ISNUMBER(Datos!R12),Datos!R12," - ")</f>
        <v>12294</v>
      </c>
    </row>
    <row r="13" spans="1:4" ht="14.25" thickTop="1" thickBot="1">
      <c r="A13" s="848" t="str">
        <f>Datos!A13</f>
        <v>TOTAL</v>
      </c>
      <c r="B13" s="849">
        <f>SUBTOTAL(9,B9:B12)</f>
        <v>555</v>
      </c>
      <c r="C13" s="853">
        <f>SUBTOTAL(9,C9:C12)</f>
        <v>1975</v>
      </c>
      <c r="D13" s="851">
        <f>SUBTOTAL(9,D9:D12)</f>
        <v>12307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74</v>
      </c>
      <c r="D16" s="408">
        <f>IF(ISNUMBER(Datos!R16),Datos!R16," - ")</f>
        <v>380</v>
      </c>
    </row>
    <row r="17" spans="1:4" ht="13.5" thickBot="1">
      <c r="A17" s="402" t="str">
        <f>Datos!A17</f>
        <v>Jdos. Violencia contra la mujer</v>
      </c>
      <c r="B17" s="433">
        <f>IF(ISNUMBER(Datos!P17),Datos!P17," - ")</f>
        <v>5</v>
      </c>
      <c r="C17" s="434">
        <f>IF(ISNUMBER(Datos!Q17),Datos!Q17," - ")</f>
        <v>3</v>
      </c>
      <c r="D17" s="408">
        <f>IF(ISNUMBER(Datos!R17),Datos!R17," - ")</f>
        <v>36</v>
      </c>
    </row>
    <row r="18" spans="1:4" ht="14.25" thickTop="1" thickBot="1">
      <c r="A18" s="848" t="str">
        <f>Datos!A18</f>
        <v>TOTAL</v>
      </c>
      <c r="B18" s="849">
        <f>SUBTOTAL(9,B15:B17)</f>
        <v>50</v>
      </c>
      <c r="C18" s="853">
        <f>SUBTOTAL(9,C15:C17)</f>
        <v>77</v>
      </c>
      <c r="D18" s="851">
        <f>SUBTOTAL(9,D15:D17)</f>
        <v>416</v>
      </c>
    </row>
    <row r="19" spans="1:4" ht="16.5" customHeight="1" thickTop="1" thickBot="1">
      <c r="A19" s="793" t="str">
        <f>Datos!A19</f>
        <v>TOTAL JURISDICCIONES</v>
      </c>
      <c r="B19" s="798">
        <f>SUBTOTAL(9,B8:B18)</f>
        <v>605</v>
      </c>
      <c r="C19" s="799">
        <f>SUBTOTAL(9,C8:C18)</f>
        <v>2052</v>
      </c>
      <c r="D19" s="800">
        <f>SUBTOTAL(9,D8:D18)</f>
        <v>12723</v>
      </c>
    </row>
    <row r="20" spans="1:4" ht="7.5" customHeight="1"/>
    <row r="21" spans="1:4" ht="6" customHeight="1"/>
    <row r="22" spans="1:4">
      <c r="A22" s="391" t="str">
        <f>Criterios!A4</f>
        <v>Fecha Informe: 29 nov. 2024</v>
      </c>
    </row>
    <row r="27" spans="1:4">
      <c r="A27" s="414"/>
    </row>
  </sheetData>
  <sheetProtection algorithmName="SHA-512" hashValue="yl4bDXs795obW2WvfQ5GczknBS0tCEydaOOZdcEv/wfpPOYo0NuRXuO0OJuKe2+5ObdDksrD6lsmW8dtis1sKg==" saltValue="xBiobirkSSghGgdnXWOz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MOLINA DE SEGURA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-0.16766467065868262</v>
      </c>
      <c r="C10" s="456">
        <f>IF(ISNUMBER((Datos!J10-Datos!T10)/Datos!T10),(Datos!J10-Datos!T10)/Datos!T10," - ")</f>
        <v>-0.375</v>
      </c>
      <c r="D10" s="456">
        <f>IF(ISNUMBER((Datos!K10-Datos!U10)/Datos!U10),(Datos!K10-Datos!U10)/Datos!U10," - ")</f>
        <v>0.77777777777777779</v>
      </c>
      <c r="E10" s="456">
        <f>IF(ISNUMBER((Datos!L10-Datos!V10)/Datos!V10),(Datos!L10-Datos!V10)/Datos!V10," - ")</f>
        <v>-0.24175824175824176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1.8444444444444443</v>
      </c>
      <c r="I10" s="456">
        <f>IF(ISNUMBER(((NºAsuntos!I10/NºAsuntos!G10)-Datos!BE10)/Datos!BE10),((NºAsuntos!I10/NºAsuntos!G10)-Datos!BE10)/Datos!BE10," - ")</f>
        <v>-0.57348901098901095</v>
      </c>
      <c r="J10" s="461">
        <f>IF(ISNUMBER((('Resol  Asuntos'!D10/NºAsuntos!G10)-Datos!BF10)/Datos!BF10),(('Resol  Asuntos'!D10/NºAsuntos!G10)-Datos!BF10)/Datos!BF10," - ")</f>
        <v>-1</v>
      </c>
      <c r="K10" s="462">
        <f>IF(ISNUMBER((((NºAsuntos!C10+NºAsuntos!E10)/NºAsuntos!G10)-Datos!BG10)/Datos!BG10),(((NºAsuntos!C10+NºAsuntos!E10)/NºAsuntos!G10)-Datos!BG10)/Datos!BG10," - ")</f>
        <v>-0.54646596858638741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-3.5060129509713225E-2</v>
      </c>
      <c r="C12" s="456">
        <f>IF(ISNUMBER(
   IF(J_V="SI",(Datos!J12-Datos!T12)/Datos!T12,(Datos!J12+Datos!Z12-(Datos!T12+Datos!AH12))/(Datos!T12+Datos!AH12))
     ),IF(J_V="SI",(Datos!J12-Datos!T12)/Datos!T12,(Datos!J12+Datos!Z12-(Datos!T12+Datos!AH12))/(Datos!T12+Datos!AH12))," - ")</f>
        <v>-0.21121251629726207</v>
      </c>
      <c r="D12" s="456">
        <f>IF(ISNUMBER(
   IF(J_V="SI",(Datos!K12-Datos!U12)/Datos!U12,(Datos!K12+Datos!AA12-(Datos!U12+Datos!AI12))/(Datos!U12+Datos!AI12))
     ),IF(J_V="SI",(Datos!K12-Datos!U12)/Datos!U12,(Datos!K12+Datos!AA12-(Datos!U12+Datos!AI12))/(Datos!U12+Datos!AI12))," - ")</f>
        <v>0.42660178426601786</v>
      </c>
      <c r="E12" s="456">
        <f>IF(ISNUMBER(
   IF(J_V="SI",(Datos!L12-Datos!V12)/Datos!V12,(Datos!L12+Datos!AB12-(Datos!V12+Datos!AJ12))/(Datos!V12+Datos!AJ12))
     ),IF(J_V="SI",(Datos!L12-Datos!V12)/Datos!V12,(Datos!L12+Datos!AB12-(Datos!V12+Datos!AJ12))/(Datos!V12+Datos!AJ12))," - ")</f>
        <v>-4.5716375605741974E-2</v>
      </c>
      <c r="F12" s="456">
        <f>IF(ISNUMBER((Datos!M12-Datos!W12)/Datos!W12),(Datos!M12-Datos!W12)/Datos!W12," - ")</f>
        <v>0.71495327102803741</v>
      </c>
      <c r="G12" s="457">
        <f>IF(ISNUMBER((Datos!N12-Datos!X12)/Datos!X12),(Datos!N12-Datos!X12)/Datos!X12," - ")</f>
        <v>0.50620347394540943</v>
      </c>
      <c r="H12" s="455">
        <f>IF(ISNUMBER(((NºAsuntos!G12/NºAsuntos!E12)-Datos!BD12)/Datos!BD12),((NºAsuntos!G12/NºAsuntos!E12)-Datos!BD12)/Datos!BD12," - ")</f>
        <v>0.80860093972237301</v>
      </c>
      <c r="I12" s="456">
        <f>IF(ISNUMBER(((NºAsuntos!I12/NºAsuntos!G12)-Datos!BE12)/Datos!BE12),((NºAsuntos!I12/NºAsuntos!G12)-Datos!BE12)/Datos!BE12," - ")</f>
        <v>-0.3310791876758839</v>
      </c>
      <c r="J12" s="461">
        <f>IF(ISNUMBER((('Resol  Asuntos'!D12/NºAsuntos!G12)-Datos!BF12)/Datos!BF12),(('Resol  Asuntos'!D12/NºAsuntos!G12)-Datos!BF12)/Datos!BF12," - ")</f>
        <v>-0.36165089289115038</v>
      </c>
      <c r="K12" s="462">
        <f>IF(ISNUMBER((((NºAsuntos!C12+NºAsuntos!E12)/NºAsuntos!G12)-Datos!BG12)/Datos!BG12),(((NºAsuntos!C12+NºAsuntos!E12)/NºAsuntos!G12)-Datos!BG12)/Datos!BG12," - ")</f>
        <v>-0.34527989876442666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-3.7077525735629044E-2</v>
      </c>
      <c r="C13" s="855">
        <f>IF(ISNUMBER(
   IF(J_V="SI",(Datos!J13-Datos!T13)/Datos!T13,(Datos!J13+Datos!Z13-(Datos!T13+Datos!AH13))/(Datos!T13+Datos!AH13))
     ),IF(J_V="SI",(Datos!J13-Datos!T13)/Datos!T13,(Datos!J13+Datos!Z13-(Datos!T13+Datos!AH13))/(Datos!T13+Datos!AH13))," - ")</f>
        <v>-0.2129032258064516</v>
      </c>
      <c r="D13" s="855">
        <f>IF(ISNUMBER(
   IF(J_V="SI",(Datos!K13-Datos!U13)/Datos!U13,(Datos!K13+Datos!AA13-(Datos!U13+Datos!AI13))/(Datos!U13+Datos!AI13))
     ),IF(J_V="SI",(Datos!K13-Datos!U13)/Datos!U13,(Datos!K13+Datos!AA13-(Datos!U13+Datos!AI13))/(Datos!U13+Datos!AI13))," - ")</f>
        <v>0.42914653784219003</v>
      </c>
      <c r="E13" s="855">
        <f>IF(ISNUMBER(
   IF(J_V="SI",(Datos!L13-Datos!V13)/Datos!V13,(Datos!L13+Datos!AB13-(Datos!V13+Datos!AJ13))/(Datos!V13+Datos!AJ13))
     ),IF(J_V="SI",(Datos!L13-Datos!V13)/Datos!V13,(Datos!L13+Datos!AB13-(Datos!V13+Datos!AJ13))/(Datos!V13+Datos!AJ13))," - ")</f>
        <v>-4.8925263063225109E-2</v>
      </c>
      <c r="F13" s="856">
        <f>IF(ISNUMBER((Datos!M13-Datos!W13)/Datos!W13),(Datos!M13-Datos!W13)/Datos!W13," - ")</f>
        <v>0.6834862385321101</v>
      </c>
      <c r="G13" s="857">
        <f>IF(ISNUMBER((Datos!N13-Datos!X13)/Datos!X13),(Datos!N13-Datos!X13)/Datos!X13," - ")</f>
        <v>0.49140049140049141</v>
      </c>
      <c r="H13" s="857">
        <f>IF(ISNUMBER(((NºAsuntos!G13/NºAsuntos!E13)-Datos!BD13)/Datos!BD13),((NºAsuntos!G13/NºAsuntos!E13)-Datos!BD13)/Datos!BD13," - ")</f>
        <v>0.8157189620126184</v>
      </c>
      <c r="I13" s="857">
        <f>IF(ISNUMBER(((NºAsuntos!I13/NºAsuntos!G13)-Datos!BE13)/Datos!BE13),((NºAsuntos!I13/NºAsuntos!G13)-Datos!BE13)/Datos!BE13," - ")</f>
        <v>-0.33451559252085949</v>
      </c>
      <c r="J13" s="857">
        <f>IF(ISNUMBER((('Resol  Asuntos'!D13/NºAsuntos!G13)-Datos!BF13)/Datos!BF13),(('Resol  Asuntos'!D13/NºAsuntos!G13)-Datos!BF13)/Datos!BF13," - ")</f>
        <v>-0.36905007440218707</v>
      </c>
      <c r="K13" s="857">
        <f>IF(ISNUMBER((((NºAsuntos!C13+NºAsuntos!E13)/NºAsuntos!G13)-Datos!BG13)/Datos!BG13),(((NºAsuntos!C13+NºAsuntos!E13)/NºAsuntos!G13)-Datos!BG13)/Datos!BG13," - ")</f>
        <v>-0.34772913529893851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-4.3921378306236353E-2</v>
      </c>
      <c r="C16" s="456">
        <f>IF(ISNUMBER(
   IF(D_I="SI",(Datos!J16-Datos!T16)/Datos!T16,(Datos!J16+Datos!AD16-(Datos!T16+Datos!AL16))/(Datos!T16+Datos!AL16))
     ),IF(D_I="SI",(Datos!J16-Datos!T16)/Datos!T16,(Datos!J16+Datos!AD16-(Datos!T16+Datos!AL16))/(Datos!T16+Datos!AL16))," - ")</f>
        <v>8.8659793814432994E-2</v>
      </c>
      <c r="D16" s="456">
        <f>IF(ISNUMBER(
   IF(D_I="SI",(Datos!K16-Datos!U16)/Datos!U16,(Datos!K16+Datos!AE16-(Datos!U16+Datos!AM16))/(Datos!U16+Datos!AM16))
     ),IF(D_I="SI",(Datos!K16-Datos!U16)/Datos!U16,(Datos!K16+Datos!AE16-(Datos!U16+Datos!AM16))/(Datos!U16+Datos!AM16))," - ")</f>
        <v>-3.2870708546384221E-2</v>
      </c>
      <c r="E16" s="456">
        <f>IF(ISNUMBER(
   IF(D_I="SI",(Datos!L16-Datos!V16)/Datos!V16,(Datos!L16+Datos!AF16-(Datos!V16+Datos!AN16))/(Datos!V16+Datos!AN16))
     ),IF(D_I="SI",(Datos!L16-Datos!V16)/Datos!V16,(Datos!L16+Datos!AF16-(Datos!V16+Datos!AN16))/(Datos!V16+Datos!AN16))," - ")</f>
        <v>8.7678339818417633E-2</v>
      </c>
      <c r="F16" s="456">
        <f>IF(ISNUMBER((Datos!M16-Datos!W16)/Datos!W16),(Datos!M16-Datos!W16)/Datos!W16," - ")</f>
        <v>-5.2238805970149252E-2</v>
      </c>
      <c r="G16" s="457">
        <f>IF(ISNUMBER((Datos!N16-Datos!X16)/Datos!X16),(Datos!N16-Datos!X16)/Datos!X16," - ")</f>
        <v>-0.19976076555023922</v>
      </c>
      <c r="H16" s="455">
        <f>IF(ISNUMBER(((NºAsuntos!G16/NºAsuntos!E16)-Datos!BD16)/Datos!BD16),((NºAsuntos!G16/NºAsuntos!E16)-Datos!BD16)/Datos!BD16," - ")</f>
        <v>-0.11163313190340217</v>
      </c>
      <c r="I16" s="456">
        <f>IF(ISNUMBER(((NºAsuntos!I16/NºAsuntos!G16)-Datos!BE16)/Datos!BE16),((NºAsuntos!I16/NºAsuntos!G16)-Datos!BE16)/Datos!BE16," - ")</f>
        <v>0.12464625922312203</v>
      </c>
      <c r="J16" s="461">
        <f>IF(ISNUMBER((('Resol  Asuntos'!D16/NºAsuntos!G16)-Datos!BF16)/Datos!BF16),(('Resol  Asuntos'!D16/NºAsuntos!G16)-Datos!BF16)/Datos!BF16," - ")</f>
        <v>-2.0026378680615006E-2</v>
      </c>
      <c r="K16" s="462">
        <f>IF(ISNUMBER((((NºAsuntos!C16+NºAsuntos!E16)/NºAsuntos!G16)-Datos!BG16)/Datos!BG16),(((NºAsuntos!C16+NºAsuntos!E16)/NºAsuntos!G16)-Datos!BG16)/Datos!BG16," - ")</f>
        <v>2.4345273442071408E-2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1.3644859813084111</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2.2727272727272728E-2</v>
      </c>
      <c r="E17" s="456">
        <f>IF(ISNUMBER(
   IF(D_I="SI",(Datos!L17-Datos!V17)/Datos!V17,(Datos!L17+Datos!AF17-(Datos!V17+Datos!AN17))/(Datos!V17+Datos!AN17))
     ),IF(D_I="SI",(Datos!L17-Datos!V17)/Datos!V17,(Datos!L17+Datos!AF17-(Datos!V17+Datos!AN17))/(Datos!V17+Datos!AN17))," - ")</f>
        <v>1.0196850393700787</v>
      </c>
      <c r="F17" s="456">
        <f>IF(ISNUMBER((Datos!M17-Datos!W17)/Datos!W17),(Datos!M17-Datos!W17)/Datos!W17," - ")</f>
        <v>0.3235294117647059</v>
      </c>
      <c r="G17" s="457">
        <f>IF(ISNUMBER((Datos!N17-Datos!X17)/Datos!X17),(Datos!N17-Datos!X17)/Datos!X17," - ")</f>
        <v>0.14666666666666667</v>
      </c>
      <c r="H17" s="455">
        <f>IF(ISNUMBER(((NºAsuntos!G17/NºAsuntos!E17)-Datos!BD17)/Datos!BD17),((NºAsuntos!G17/NºAsuntos!E17)-Datos!BD17)/Datos!BD17," - ")</f>
        <v>0.22727272727272735</v>
      </c>
      <c r="I17" s="456">
        <f>IF(ISNUMBER(((NºAsuntos!I17/NºAsuntos!G17)-Datos!BE17)/Datos!BE17),((NºAsuntos!I17/NºAsuntos!G17)-Datos!BE17)/Datos!BE17," - ")</f>
        <v>0.97480314960629932</v>
      </c>
      <c r="J17" s="461">
        <f>IF(ISNUMBER((('Resol  Asuntos'!D17/NºAsuntos!G17)-Datos!BF17)/Datos!BF17),(('Resol  Asuntos'!D17/NºAsuntos!G17)-Datos!BF17)/Datos!BF17," - ")</f>
        <v>0.29411764705882354</v>
      </c>
      <c r="K17" s="462">
        <f>IF(ISNUMBER((((NºAsuntos!C17+NºAsuntos!E17)/NºAsuntos!G17)-Datos!BG17)/Datos!BG17),(((NºAsuntos!C17+NºAsuntos!E17)/NºAsuntos!G17)-Datos!BG17)/Datos!BG17," - ")</f>
        <v>0.55989664082687318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2.5605536332179931E-2</v>
      </c>
      <c r="C18" s="855">
        <f>IF(ISNUMBER(
   IF(Criterios!B14="SI",(Datos!J18-Datos!T18)/Datos!T18,(Datos!J18+Datos!AD18-(Datos!T18+Datos!AL18))/(Datos!T18+Datos!AL18))
     ),IF(Criterios!B14="SI",(Datos!J18-Datos!T18)/Datos!T18,(Datos!J18+Datos!AD18-(Datos!T18+Datos!AL18))/(Datos!T18+Datos!AL18))," - ")</f>
        <v>5.565529622980251E-2</v>
      </c>
      <c r="D18" s="855">
        <f>IF(ISNUMBER(
   IF(Criterios!B14="SI",(Datos!K18-Datos!U18)/Datos!U18,(Datos!K18+Datos!AE18-(Datos!U18+Datos!AM18))/(Datos!U18+Datos!AM18))
     ),IF(Criterios!B14="SI",(Datos!K18-Datos!U18)/Datos!U18,(Datos!K18+Datos!AE18-(Datos!U18+Datos!AM18))/(Datos!U18+Datos!AM18))," - ")</f>
        <v>-2.6537216828478965E-2</v>
      </c>
      <c r="E18" s="855">
        <f>IF(ISNUMBER(
   IF(Criterios!B14="SI",(Datos!L18-Datos!V18)/Datos!V18,(Datos!L18+Datos!AF18-(Datos!V18+Datos!AN18))/(Datos!V18+Datos!AN18))
     ),IF(Criterios!B14="SI",(Datos!L18-Datos!V18)/Datos!V18,(Datos!L18+Datos!AF18-(Datos!V18+Datos!AN18))/(Datos!V18+Datos!AN18))," - ")</f>
        <v>0.14529082501825261</v>
      </c>
      <c r="F18" s="856">
        <f>IF(ISNUMBER((Datos!M18-Datos!W18)/Datos!W18),(Datos!M18-Datos!W18)/Datos!W18," - ")</f>
        <v>2.3809523809523808E-2</v>
      </c>
      <c r="G18" s="857">
        <f>IF(ISNUMBER((Datos!N18-Datos!X18)/Datos!X18),(Datos!N18-Datos!X18)/Datos!X18," - ")</f>
        <v>-0.1712403951701427</v>
      </c>
      <c r="H18" s="857">
        <f>IF(ISNUMBER(((NºAsuntos!G18/NºAsuntos!E18)-Datos!BD18)/Datos!BD18),((NºAsuntos!G18/NºAsuntos!E18)-Datos!BD18)/Datos!BD18," - ")</f>
        <v>-7.7859234308610178E-2</v>
      </c>
      <c r="I18" s="857">
        <f>IF(ISNUMBER(((NºAsuntos!I18/NºAsuntos!G18)-Datos!BE18)/Datos!BE18),((NºAsuntos!I18/NºAsuntos!G18)-Datos!BE18)/Datos!BE18," - ")</f>
        <v>0.17651218394494705</v>
      </c>
      <c r="J18" s="857">
        <f>IF(ISNUMBER((('Resol  Asuntos'!D18/NºAsuntos!G18)-Datos!BF18)/Datos!BF18),(('Resol  Asuntos'!D18/NºAsuntos!G18)-Datos!BF18)/Datos!BF18," - ")</f>
        <v>5.1719224924012153E-2</v>
      </c>
      <c r="K18" s="857">
        <f>IF(ISNUMBER((((NºAsuntos!C18+NºAsuntos!E18)/NºAsuntos!G18)-Datos!BG18)/Datos!BG18),(((NºAsuntos!C18+NºAsuntos!E18)/NºAsuntos!G18)-Datos!BG18)/Datos!BG18," - ")</f>
        <v>6.2152608030267648E-2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-1.9331243469174503E-2</v>
      </c>
      <c r="C19" s="802">
        <f>IF(ISNUMBER(
   IF(J_V="SI",(Datos!J19-Datos!T19)/Datos!T19,(Datos!J19+Datos!Z19-(Datos!T19+Datos!AH19))/(Datos!T19+Datos!AH19))
     ),IF(J_V="SI",(Datos!J19-Datos!T19)/Datos!T19,(Datos!J19+Datos!Z19-(Datos!T19+Datos!AH19))/(Datos!T19+Datos!AH19))," - ")</f>
        <v>-0.1006006006006006</v>
      </c>
      <c r="D19" s="802">
        <f>IF(ISNUMBER(
   IF(J_V="SI",(Datos!K19-Datos!U19)/Datos!U19,(Datos!K19+Datos!AA19-(Datos!U19+Datos!AI19))/(Datos!U19+Datos!AI19))
     ),IF(J_V="SI",(Datos!K19-Datos!U19)/Datos!U19,(Datos!K19+Datos!AA19-(Datos!U19+Datos!AI19))/(Datos!U19+Datos!AI19))," - ")</f>
        <v>0.17653390742734124</v>
      </c>
      <c r="E19" s="802">
        <f>IF(ISNUMBER(
   IF(J_V="SI",(Datos!L19-Datos!V19)/Datos!V19,(Datos!L19+Datos!AB19-(Datos!V19+Datos!AJ19))/(Datos!V19+Datos!AJ19))
     ),IF(J_V="SI",(Datos!L19-Datos!V19)/Datos!V19,(Datos!L19+Datos!AB19-(Datos!V19+Datos!AJ19))/(Datos!V19+Datos!AJ19))," - ")</f>
        <v>3.4804307853953244E-3</v>
      </c>
      <c r="F19" s="803">
        <f>IF(ISNUMBER((Datos!M19-Datos!W19)/Datos!W19),(Datos!M19-Datos!W19)/Datos!W19," - ")</f>
        <v>0.39637305699481867</v>
      </c>
      <c r="G19" s="804">
        <f>IF(ISNUMBER((Datos!N19-Datos!X19)/Datos!X19),(Datos!N19-Datos!X19)/Datos!X19," - ")</f>
        <v>3.3383915022761758E-2</v>
      </c>
      <c r="H19" s="805">
        <f>IF(ISNUMBER((Tasas!B19-Datos!BD19)/Datos!BD19),(Tasas!B19-Datos!BD19)/Datos!BD19," - ")</f>
        <v>0.30813285867547452</v>
      </c>
      <c r="I19" s="806">
        <f>IF(ISNUMBER((Tasas!C19-Datos!BE19)/Datos!BE19),(Tasas!C19-Datos!BE19)/Datos!BE19," - ")</f>
        <v>-0.14708753870115987</v>
      </c>
      <c r="J19" s="807">
        <f>IF(ISNUMBER((Tasas!D19-Datos!BF19)/Datos!BF19),(Tasas!D19-Datos!BF19)/Datos!BF19," - ")</f>
        <v>-0.20326027288277176</v>
      </c>
      <c r="K19" s="807">
        <f>IF(ISNUMBER((Tasas!E19-Datos!BG19)/Datos!BG19),(Tasas!E19-Datos!BG19)/Datos!BG19," - ")</f>
        <v>-0.18077228747793514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Gr8QVU6UMrDvSM36NvXrU/k9bZFb8JtDLHGV5BUr0EGJe5HA6dhSTmaMCi6p601uwtjh9d0uM02XPwWWuLGhg==" saltValue="5Yk9mnzXNbTbNrg9NWs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MOLINA DE SEGURA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1.0666666666666667</v>
      </c>
      <c r="C10" s="443">
        <f>IF(ISNUMBER(NºAsuntos!I10/NºAsuntos!G10),NºAsuntos!I10/NºAsuntos!G10," - ")</f>
        <v>8.625</v>
      </c>
      <c r="D10" s="444">
        <f>IF(ISNUMBER('Resol  Asuntos'!D10/NºAsuntos!G10),'Resol  Asuntos'!D10/NºAsuntos!G10," - ")</f>
        <v>0</v>
      </c>
      <c r="E10" s="445">
        <f>IF(ISNUMBER((NºAsuntos!C10+NºAsuntos!E10)/NºAsuntos!G10),(NºAsuntos!C10+NºAsuntos!E10)/NºAsuntos!G10," - ")</f>
        <v>9.625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0.96914600550964192</v>
      </c>
      <c r="C12" s="443">
        <f>IF(ISNUMBER(NºAsuntos!I12/NºAsuntos!G12),NºAsuntos!I12/NºAsuntos!G12," - ")</f>
        <v>5.9334849346219443</v>
      </c>
      <c r="D12" s="444">
        <f>IF(ISNUMBER('Resol  Asuntos'!D12/NºAsuntos!G12),'Resol  Asuntos'!D12/NºAsuntos!G12," - ")</f>
        <v>0.20864127345082434</v>
      </c>
      <c r="E12" s="445">
        <f>IF(ISNUMBER((NºAsuntos!C12+NºAsuntos!E12)/NºAsuntos!G12),(NºAsuntos!C12+NºAsuntos!E12)/NºAsuntos!G12," - ")</f>
        <v>6.9619101762364979</v>
      </c>
      <c r="G12" s="463"/>
    </row>
    <row r="13" spans="1:7" ht="14.25" thickTop="1" thickBot="1">
      <c r="A13" s="848" t="str">
        <f>Datos!A13</f>
        <v>TOTAL</v>
      </c>
      <c r="B13" s="858">
        <f>IF(ISNUMBER(NºAsuntos!G13/NºAsuntos!E13),NºAsuntos!G13/NºAsuntos!E13," - ")</f>
        <v>0.9699453551912568</v>
      </c>
      <c r="C13" s="859">
        <f>IF(ISNUMBER(NºAsuntos!I13/NºAsuntos!G13),NºAsuntos!I13/NºAsuntos!G13," - ")</f>
        <v>5.957746478873239</v>
      </c>
      <c r="D13" s="860">
        <f>IF(ISNUMBER('Resol  Asuntos'!D13/NºAsuntos!G13),'Resol  Asuntos'!D13/NºAsuntos!G13," - ")</f>
        <v>0.2067605633802817</v>
      </c>
      <c r="E13" s="861">
        <f>IF(ISNUMBER((NºAsuntos!C13+NºAsuntos!E13)/NºAsuntos!G13),(NºAsuntos!C13+NºAsuntos!E13)/NºAsuntos!G13," - ")</f>
        <v>6.9859154929577461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0.83585858585858586</v>
      </c>
      <c r="C16" s="443">
        <f>IF(ISNUMBER(NºAsuntos!I16/NºAsuntos!G16),NºAsuntos!I16/NºAsuntos!G16," - ")</f>
        <v>3.166918429003021</v>
      </c>
      <c r="D16" s="444">
        <f>IF(ISNUMBER('Resol  Asuntos'!D16/NºAsuntos!G16),'Resol  Asuntos'!D16/NºAsuntos!G16," - ")</f>
        <v>9.5921450151057408E-2</v>
      </c>
      <c r="E16" s="445">
        <f>IF(ISNUMBER((NºAsuntos!C16+NºAsuntos!E16)/NºAsuntos!G16),(NºAsuntos!C16+NºAsuntos!E16)/NºAsuntos!G16," - ")</f>
        <v>4.1722054380664648</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2.85</v>
      </c>
      <c r="D17" s="444">
        <f>IF(ISNUMBER('Resol  Asuntos'!D17/NºAsuntos!G17),'Resol  Asuntos'!D17/NºAsuntos!G17," - ")</f>
        <v>0.25</v>
      </c>
      <c r="E17" s="445">
        <f>IF(ISNUMBER((NºAsuntos!C17+NºAsuntos!E17)/NºAsuntos!G17),(NºAsuntos!C17+NºAsuntos!E17)/NºAsuntos!G17," - ")</f>
        <v>3.8111111111111109</v>
      </c>
      <c r="G17" s="463"/>
    </row>
    <row r="18" spans="1:7" ht="14.25" thickTop="1" thickBot="1">
      <c r="A18" s="848" t="str">
        <f>Datos!A18</f>
        <v>TOTAL</v>
      </c>
      <c r="B18" s="858">
        <f>IF(ISNUMBER(NºAsuntos!G18/NºAsuntos!E18),NºAsuntos!G18/NºAsuntos!E18," - ")</f>
        <v>0.85260770975056688</v>
      </c>
      <c r="C18" s="859">
        <f>IF(ISNUMBER(NºAsuntos!I18/NºAsuntos!G18),NºAsuntos!I18/NºAsuntos!G18," - ")</f>
        <v>3.1289893617021276</v>
      </c>
      <c r="D18" s="862">
        <f>IF(ISNUMBER('Resol  Asuntos'!D18/NºAsuntos!G18),'Resol  Asuntos'!D18/NºAsuntos!G18," - ")</f>
        <v>0.11436170212765957</v>
      </c>
      <c r="E18" s="861">
        <f>IF(ISNUMBER((NºAsuntos!C18+NºAsuntos!E18)/NºAsuntos!G18),(NºAsuntos!C18+NºAsuntos!E18)/NºAsuntos!G18," - ")</f>
        <v>4.1289893617021276</v>
      </c>
      <c r="G18" s="463"/>
    </row>
    <row r="19" spans="1:7" ht="15.75" customHeight="1" thickTop="1" thickBot="1">
      <c r="A19" s="793" t="str">
        <f>Datos!A19</f>
        <v>TOTAL JURISDICCIONES</v>
      </c>
      <c r="B19" s="808">
        <f>IF(ISNUMBER(NºAsuntos!G19/NºAsuntos!E19),NºAsuntos!G19/NºAsuntos!E19," - ")</f>
        <v>0.91235392320534225</v>
      </c>
      <c r="C19" s="809">
        <f>IF(ISNUMBER(NºAsuntos!I19/NºAsuntos!G19),NºAsuntos!I19/NºAsuntos!G19," - ")</f>
        <v>4.6602622750838671</v>
      </c>
      <c r="D19" s="810">
        <f>IF(ISNUMBER('Resol  Asuntos'!D19/NºAsuntos!G19),'Resol  Asuntos'!D19/NºAsuntos!G19," - ")</f>
        <v>0.16437938395852394</v>
      </c>
      <c r="E19" s="811">
        <f>IF(ISNUMBER((NºAsuntos!C19+NºAsuntos!E19)/NºAsuntos!G19),(NºAsuntos!C19+NºAsuntos!E19)/NºAsuntos!G19," - ")</f>
        <v>5.6755108264714851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6V87U6o8gsSAwUzhcGhPJhhOrqjQ/PlZ+amvpedAy0LnJK8StX+kRqFnzxgT4bb91Yf0z0+RFy+i4w5f9Iqg==" saltValue="q0rBUPtXUHCIiUei7Xai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MOLINA DE SEGURA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139</v>
      </c>
      <c r="G10" s="333">
        <f>IF(ISNUMBER(Datos!I10),Datos!I10," - ")</f>
        <v>139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4</v>
      </c>
      <c r="Y10" s="334">
        <f t="shared" ref="Y10:Y12" si="0">SUM(W10:X10)</f>
        <v>20</v>
      </c>
      <c r="Z10" s="335" t="str">
        <f>IF(ISNUMBER(Datos!CC10),Datos!CC10," - ")</f>
        <v xml:space="preserve"> - </v>
      </c>
      <c r="AA10" s="332">
        <f>IF(ISNUMBER(Datos!L10),Datos!L10,"-")</f>
        <v>138</v>
      </c>
      <c r="AB10" s="334">
        <f>IF(ISNUMBER(Datos!R10),Datos!R10," - ")</f>
        <v>13</v>
      </c>
      <c r="AC10" s="334">
        <f t="shared" ref="AC10:AC12" si="1">IF(ISNUMBER(AA10+AB10),AA10+AB10," - ")</f>
        <v>151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1.0666666666666667</v>
      </c>
      <c r="AM10" s="260">
        <f>IF(ISNUMBER(((NºAsuntos!I10/NºAsuntos!G10)*11)/factor_trimestre),((NºAsuntos!I10/NºAsuntos!G10)*11)/factor_trimestre," - ")</f>
        <v>17.25</v>
      </c>
      <c r="AN10" s="244">
        <f>IF(ISNUMBER('Resol  Asuntos'!D10/NºAsuntos!G10),'Resol  Asuntos'!D10/NºAsuntos!G10," - ")</f>
        <v>0</v>
      </c>
      <c r="AO10" s="245">
        <f>IF(ISNUMBER((NºAsuntos!C10+NºAsuntos!E10)/NºAsuntos!G10),(NºAsuntos!C10+NºAsuntos!E10)/NºAsuntos!G10," - ")</f>
        <v>9.625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1971</v>
      </c>
      <c r="Y12" s="334">
        <f t="shared" si="0"/>
        <v>1971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12294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367</v>
      </c>
      <c r="AJ12" s="229" t="str">
        <f>IF(ISNUMBER(Datos!BW12),Datos!BW12," - ")</f>
        <v xml:space="preserve"> - </v>
      </c>
      <c r="AK12" s="228" t="str">
        <f>IF(ISNUMBER(Datos!BX12),Datos!BX12," - ")</f>
        <v xml:space="preserve"> - </v>
      </c>
      <c r="AL12" s="243">
        <f>IF(ISNUMBER(NºAsuntos!G12/NºAsuntos!E12),NºAsuntos!G12/NºAsuntos!E12," - ")</f>
        <v>0.96914600550964192</v>
      </c>
      <c r="AM12" s="260">
        <f>IF(ISNUMBER(((NºAsuntos!I12/NºAsuntos!G12)*11)/factor_trimestre),((NºAsuntos!I12/NºAsuntos!G12)*11)/factor_trimestre," - ")</f>
        <v>11.866969869243889</v>
      </c>
      <c r="AN12" s="244">
        <f>IF(ISNUMBER('Resol  Asuntos'!D12/NºAsuntos!G12),'Resol  Asuntos'!D12/NºAsuntos!G12," - ")</f>
        <v>0.20864127345082434</v>
      </c>
      <c r="AO12" s="245">
        <f>IF(ISNUMBER((NºAsuntos!C12+NºAsuntos!E12)/NºAsuntos!G12),(NºAsuntos!C12+NºAsuntos!E12)/NºAsuntos!G12," - ")</f>
        <v>6.9619101762364979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139</v>
      </c>
      <c r="G13" s="866">
        <f t="shared" si="3"/>
        <v>139</v>
      </c>
      <c r="H13" s="865">
        <f t="shared" si="3"/>
        <v>0</v>
      </c>
      <c r="I13" s="867">
        <f t="shared" si="3"/>
        <v>0</v>
      </c>
      <c r="J13" s="867">
        <f t="shared" si="3"/>
        <v>0</v>
      </c>
      <c r="K13" s="867">
        <f t="shared" si="3"/>
        <v>0</v>
      </c>
      <c r="L13" s="867">
        <f t="shared" si="3"/>
        <v>555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1975</v>
      </c>
      <c r="Y13" s="868">
        <f t="shared" si="4"/>
        <v>1991</v>
      </c>
      <c r="Z13" s="868">
        <f t="shared" si="4"/>
        <v>0</v>
      </c>
      <c r="AA13" s="868">
        <f t="shared" si="4"/>
        <v>138</v>
      </c>
      <c r="AB13" s="868">
        <f t="shared" si="4"/>
        <v>12307</v>
      </c>
      <c r="AC13" s="868">
        <f t="shared" si="4"/>
        <v>151</v>
      </c>
      <c r="AD13" s="868">
        <f t="shared" si="4"/>
        <v>0</v>
      </c>
      <c r="AE13" s="872">
        <f t="shared" si="4"/>
        <v>0</v>
      </c>
      <c r="AF13" s="865">
        <f t="shared" si="4"/>
        <v>0</v>
      </c>
      <c r="AG13" s="873">
        <f t="shared" si="4"/>
        <v>0</v>
      </c>
      <c r="AH13" s="870">
        <f t="shared" si="4"/>
        <v>0</v>
      </c>
      <c r="AI13" s="865">
        <f t="shared" si="4"/>
        <v>367</v>
      </c>
      <c r="AJ13" s="867">
        <f t="shared" si="4"/>
        <v>0</v>
      </c>
      <c r="AK13" s="870">
        <f>SUBTOTAL(9,AK9:AK12)</f>
        <v>0</v>
      </c>
      <c r="AL13" s="874">
        <f>IF(ISNUMBER(NºAsuntos!G13/NºAsuntos!E13),NºAsuntos!G13/NºAsuntos!E13," - ")</f>
        <v>0.9699453551912568</v>
      </c>
      <c r="AM13" s="874">
        <f>IF(ISNUMBER(((NºAsuntos!I13/NºAsuntos!G13)*11)/factor_trimestre),((NºAsuntos!I13/NºAsuntos!G13)*11)/factor_trimestre," - ")</f>
        <v>11.915492957746478</v>
      </c>
      <c r="AN13" s="875">
        <f>IF(ISNUMBER('Resol  Asuntos'!D13/NºAsuntos!G13),'Resol  Asuntos'!D13/NºAsuntos!G13," - ")</f>
        <v>0.2067605633802817</v>
      </c>
      <c r="AO13" s="876">
        <f>IF(ISNUMBER((NºAsuntos!C13+NºAsuntos!E13)/NºAsuntos!G13),(NºAsuntos!C13+NºAsuntos!E13)/NºAsuntos!G13," - ")</f>
        <v>6.9859154929577461</v>
      </c>
      <c r="AP13" s="877" t="str">
        <f t="shared" si="2"/>
        <v xml:space="preserve"> - </v>
      </c>
      <c r="AQ13" s="877">
        <f>IF(ISNUMBER((H13-W13+K13)/(F13)),(H13-W13+K13)/(F13)," - ")</f>
        <v>-0.11510791366906475</v>
      </c>
      <c r="AR13" s="878">
        <f>IF(ISNUMBER((Datos!P13-Datos!Q13)/(Datos!R13-Datos!P13+Datos!Q13)),(Datos!P13-Datos!Q13)/(Datos!R13-Datos!P13+Datos!Q13)," - ")</f>
        <v>-0.10344576382312232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3933</v>
      </c>
      <c r="G16" s="333">
        <f>IF(ISNUMBER(IF(D_I="SI",Datos!I16,Datos!I16+Datos!AC16)),IF(D_I="SI",Datos!I16,Datos!I16+Datos!AC16)," - ")</f>
        <v>3940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1324</v>
      </c>
      <c r="X16" s="226">
        <f>IF(ISNUMBER(Datos!Q16),Datos!Q16," - ")</f>
        <v>74</v>
      </c>
      <c r="Y16" s="334">
        <f t="shared" ref="Y16:Y17" si="7">SUM(W16:X16)</f>
        <v>1398</v>
      </c>
      <c r="Z16" s="335" t="str">
        <f>IF(ISNUMBER(Datos!CC16),Datos!CC16," - ")</f>
        <v xml:space="preserve"> - </v>
      </c>
      <c r="AA16" s="332">
        <f>IF(ISNUMBER(IF(D_I="SI",Datos!L16,Datos!L16+Datos!AF16)),IF(D_I="SI",Datos!L16,Datos!L16+Datos!AF16)," - ")</f>
        <v>4193</v>
      </c>
      <c r="AB16" s="334">
        <f>IF(ISNUMBER(Datos!R16),Datos!R16," - ")</f>
        <v>380</v>
      </c>
      <c r="AC16" s="334">
        <f t="shared" si="6"/>
        <v>4573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127</v>
      </c>
      <c r="AJ16" s="231" t="str">
        <f>IF(ISNUMBER(Datos!BW16),Datos!BW16," - ")</f>
        <v xml:space="preserve"> - </v>
      </c>
      <c r="AK16" s="232" t="str">
        <f>IF(ISNUMBER(Datos!BX16),Datos!BX16," - ")</f>
        <v xml:space="preserve"> - </v>
      </c>
      <c r="AL16" s="243">
        <f>IF(ISNUMBER(NºAsuntos!G16/NºAsuntos!E16),NºAsuntos!G16/NºAsuntos!E16," - ")</f>
        <v>0.83585858585858586</v>
      </c>
      <c r="AM16" s="260">
        <f>IF(ISNUMBER(((NºAsuntos!I16/NºAsuntos!G16)*11)/factor_trimestre),((NºAsuntos!I16/NºAsuntos!G16)*11)/factor_trimestre," - ")</f>
        <v>6.3338368580060411</v>
      </c>
      <c r="AN16" s="244">
        <f>IF(ISNUMBER('Resol  Asuntos'!D16/NºAsuntos!G16),'Resol  Asuntos'!D16/NºAsuntos!G16," - ")</f>
        <v>9.5921450151057408E-2</v>
      </c>
      <c r="AO16" s="245">
        <f>IF(ISNUMBER((NºAsuntos!C16+NºAsuntos!E16)/NºAsuntos!G16),(NºAsuntos!C16+NºAsuntos!E16)/NºAsuntos!G16," - ")</f>
        <v>4.1722054380664648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180</v>
      </c>
      <c r="X17" s="226">
        <f>IF(ISNUMBER(Datos!Q17),Datos!Q17," - ")</f>
        <v>3</v>
      </c>
      <c r="Y17" s="334">
        <f t="shared" si="7"/>
        <v>183</v>
      </c>
      <c r="Z17" s="335" t="str">
        <f>IF(ISNUMBER(Datos!CC17),Datos!CC17," - ")</f>
        <v xml:space="preserve"> - </v>
      </c>
      <c r="AA17" s="332">
        <f>IF(ISNUMBER(Datos!L17),Datos!L17,"-")</f>
        <v>513</v>
      </c>
      <c r="AB17" s="334">
        <f>IF(ISNUMBER(Datos!R17),Datos!R17," - ")</f>
        <v>36</v>
      </c>
      <c r="AC17" s="334">
        <f t="shared" si="6"/>
        <v>549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5.7</v>
      </c>
      <c r="AN17" s="244">
        <f>IF(ISNUMBER('Resol  Asuntos'!D17/NºAsuntos!G17),'Resol  Asuntos'!D17/NºAsuntos!G17," - ")</f>
        <v>0.25</v>
      </c>
      <c r="AO17" s="245">
        <f>IF(ISNUMBER((NºAsuntos!C17+NºAsuntos!E17)/NºAsuntos!G17),(NºAsuntos!C17+NºAsuntos!E17)/NºAsuntos!G17," - ")</f>
        <v>3.8111111111111109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3933</v>
      </c>
      <c r="G18" s="866">
        <f>SUBTOTAL(9,G15:G17)</f>
        <v>4446</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1504</v>
      </c>
      <c r="X18" s="867">
        <f t="shared" si="11"/>
        <v>77</v>
      </c>
      <c r="Y18" s="868">
        <f t="shared" si="11"/>
        <v>1581</v>
      </c>
      <c r="Z18" s="868">
        <f t="shared" si="11"/>
        <v>0</v>
      </c>
      <c r="AA18" s="868">
        <f t="shared" si="11"/>
        <v>4706</v>
      </c>
      <c r="AB18" s="868">
        <f t="shared" si="11"/>
        <v>416</v>
      </c>
      <c r="AC18" s="868">
        <f t="shared" si="11"/>
        <v>5122</v>
      </c>
      <c r="AD18" s="868">
        <f t="shared" si="11"/>
        <v>0</v>
      </c>
      <c r="AE18" s="872">
        <f t="shared" si="11"/>
        <v>0</v>
      </c>
      <c r="AF18" s="865">
        <f t="shared" si="11"/>
        <v>0</v>
      </c>
      <c r="AG18" s="873">
        <f t="shared" si="11"/>
        <v>0</v>
      </c>
      <c r="AH18" s="870">
        <f t="shared" si="11"/>
        <v>0</v>
      </c>
      <c r="AI18" s="865">
        <f t="shared" si="11"/>
        <v>172</v>
      </c>
      <c r="AJ18" s="867">
        <f t="shared" si="11"/>
        <v>0</v>
      </c>
      <c r="AK18" s="870">
        <f t="shared" si="11"/>
        <v>0</v>
      </c>
      <c r="AL18" s="874">
        <f>IF(ISNUMBER(NºAsuntos!G18/NºAsuntos!E18),NºAsuntos!G18/NºAsuntos!E18," - ")</f>
        <v>0.85260770975056688</v>
      </c>
      <c r="AM18" s="874">
        <f>IF(ISNUMBER(((NºAsuntos!I18/NºAsuntos!G18)*11)/factor_trimestre),((NºAsuntos!I18/NºAsuntos!G18)*11)/factor_trimestre," - ")</f>
        <v>6.2579787234042552</v>
      </c>
      <c r="AN18" s="875">
        <f>IF(ISNUMBER('Resol  Asuntos'!D18/NºAsuntos!G18),'Resol  Asuntos'!D18/NºAsuntos!G18," - ")</f>
        <v>0.11436170212765957</v>
      </c>
      <c r="AO18" s="876">
        <f>IF(ISNUMBER((NºAsuntos!C18+NºAsuntos!E18)/NºAsuntos!G18),(NºAsuntos!C18+NºAsuntos!E18)/NºAsuntos!G18," - ")</f>
        <v>4.1289893617021276</v>
      </c>
      <c r="AP18" s="877" t="str">
        <f t="shared" si="2"/>
        <v xml:space="preserve"> - </v>
      </c>
      <c r="AQ18" s="877">
        <f>IF(ISNUMBER((H18-W18+K18)/(F18)),(H18-W18+K18)/(F18)," - ")</f>
        <v>-0.38240528858377831</v>
      </c>
      <c r="AR18" s="878">
        <f>IF(ISNUMBER((Datos!P18-Datos!Q18)/(Datos!R18-Datos!P18+Datos!Q18)),(Datos!P18-Datos!Q18)/(Datos!R18-Datos!P18+Datos!Q18)," - ")</f>
        <v>-6.0948081264108354E-2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4072</v>
      </c>
      <c r="G19" s="821">
        <f t="shared" si="13"/>
        <v>4585</v>
      </c>
      <c r="H19" s="820">
        <f t="shared" si="13"/>
        <v>0</v>
      </c>
      <c r="I19" s="822">
        <f t="shared" si="13"/>
        <v>0</v>
      </c>
      <c r="J19" s="822">
        <f t="shared" si="13"/>
        <v>0</v>
      </c>
      <c r="K19" s="881">
        <f t="shared" si="13"/>
        <v>0</v>
      </c>
      <c r="L19" s="822">
        <f t="shared" si="13"/>
        <v>605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1520</v>
      </c>
      <c r="X19" s="821">
        <f t="shared" si="14"/>
        <v>2052</v>
      </c>
      <c r="Y19" s="828">
        <f t="shared" si="14"/>
        <v>3572</v>
      </c>
      <c r="Z19" s="828">
        <f t="shared" si="14"/>
        <v>0</v>
      </c>
      <c r="AA19" s="828">
        <f t="shared" si="14"/>
        <v>4844</v>
      </c>
      <c r="AB19" s="828">
        <f t="shared" si="14"/>
        <v>12723</v>
      </c>
      <c r="AC19" s="828">
        <f t="shared" si="14"/>
        <v>5273</v>
      </c>
      <c r="AD19" s="828">
        <f t="shared" si="14"/>
        <v>0</v>
      </c>
      <c r="AE19" s="830">
        <f t="shared" si="14"/>
        <v>0</v>
      </c>
      <c r="AF19" s="831">
        <f t="shared" si="14"/>
        <v>0</v>
      </c>
      <c r="AG19" s="832">
        <f t="shared" si="14"/>
        <v>0</v>
      </c>
      <c r="AH19" s="830">
        <f t="shared" si="14"/>
        <v>0</v>
      </c>
      <c r="AI19" s="820">
        <f t="shared" si="14"/>
        <v>539</v>
      </c>
      <c r="AJ19" s="820">
        <f t="shared" si="14"/>
        <v>0</v>
      </c>
      <c r="AK19" s="830">
        <f t="shared" si="14"/>
        <v>0</v>
      </c>
      <c r="AL19" s="884">
        <f>IF(ISNUMBER(NºAsuntos!G19/NºAsuntos!E19),NºAsuntos!G19/NºAsuntos!E19," - ")</f>
        <v>0.91235392320534225</v>
      </c>
      <c r="AM19" s="885">
        <f>IF(ISNUMBER(((NºAsuntos!I19/NºAsuntos!G19)*11)/factor_trimestre),((NºAsuntos!I19/NºAsuntos!G19)*11)/factor_trimestre," - ")</f>
        <v>9.3205245501677343</v>
      </c>
      <c r="AN19" s="885">
        <f>IF(ISNUMBER('Resol  Asuntos'!D19/NºAsuntos!G19),'Resol  Asuntos'!D19/NºAsuntos!G19," - ")</f>
        <v>0.16437938395852394</v>
      </c>
      <c r="AO19" s="886">
        <f>IF(ISNUMBER((NºAsuntos!C19+NºAsuntos!E19)/NºAsuntos!G19),(NºAsuntos!C19+NºAsuntos!E19)/NºAsuntos!G19," - ")</f>
        <v>5.6755108264714851</v>
      </c>
      <c r="AP19" s="887" t="str">
        <f t="shared" si="2"/>
        <v xml:space="preserve"> - </v>
      </c>
      <c r="AQ19" s="888">
        <f>IF(OR(ISNUMBER(FIND("01",Criterios!A8,1)),ISNUMBER(FIND("02",Criterios!A8,1)),ISNUMBER(FIND("03",Criterios!A8,1)),ISNUMBER(FIND("04",Criterios!A8,1))),(I19-W19+K19)/(F19-K19),(H19-W19+K19)/(F19-K19))</f>
        <v>-0.37328094302554027</v>
      </c>
      <c r="AR19" s="889">
        <f>IF(ISNUMBER((Datos!P19-Datos!Q19)/(Datos!R19-Datos!P19+Datos!Q19)),(Datos!P19-Datos!Q19)/(Datos!R19-Datos!P19+Datos!Q19)," - ")</f>
        <v>-0.10211714890613974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2190.4669213054399</v>
      </c>
      <c r="G21" s="253">
        <f>IF(ISNUMBER(STDEV(G8:G18)),STDEV(G8:G18),"-")</f>
        <v>2166.0686738882496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741.54972860894497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157.12118465269623</v>
      </c>
      <c r="AJ21" s="252">
        <f t="shared" si="18"/>
        <v>0</v>
      </c>
      <c r="AK21" s="254">
        <f t="shared" si="18"/>
        <v>0</v>
      </c>
      <c r="AL21" s="249">
        <f t="shared" si="18"/>
        <v>8.8750728124536729E-2</v>
      </c>
      <c r="AM21" s="250">
        <f t="shared" si="18"/>
        <v>4.5950966309134094</v>
      </c>
      <c r="AN21" s="250">
        <f t="shared" si="18"/>
        <v>9.3012474120860444E-2</v>
      </c>
      <c r="AO21" s="251">
        <f t="shared" si="18"/>
        <v>2.3088590340937927</v>
      </c>
      <c r="AP21" s="291" t="str">
        <f t="shared" si="18"/>
        <v>-</v>
      </c>
      <c r="AQ21" s="292">
        <f t="shared" si="18"/>
        <v>0.18900778639555688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eZtFOwzwcEDsuLWl4AkNIDSb/wstbxUToJ21PEqZ2PdGtKI0Q0zOaz/P6u6AxwVPQcitPMOROAdMVRajGY/Rg==" saltValue="9J18Aw/pHDMaLEMPTDsfP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MOLINA DE SEGURA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-0.16766467065868262</v>
      </c>
      <c r="E10" s="348">
        <f>IF(ISNUMBER((Datos!J10-Datos!T10)/Datos!T10),(Datos!J10-Datos!T10)/Datos!T10," - ")</f>
        <v>-0.375</v>
      </c>
      <c r="F10" s="348">
        <f>IF(ISNUMBER((Datos!K10-Datos!U10)/Datos!U10),(Datos!K10-Datos!U10)/Datos!U10," - ")</f>
        <v>0.77777777777777779</v>
      </c>
      <c r="G10" s="349">
        <f>IF(ISNUMBER((Datos!L10-Datos!V10)/Datos!V10),(Datos!L10-Datos!V10)/Datos!V10," - ")</f>
        <v>-0.24175824175824176</v>
      </c>
      <c r="H10" s="230">
        <f>IF(ISNUMBER((Datos!M10-Datos!W10)/Datos!W10),(Datos!M10-Datos!W10)/Datos!W10," - ")</f>
        <v>-1</v>
      </c>
      <c r="I10" s="350">
        <f>IF(ISNUMBER((Tasas!C10-Datos!BE10)/Datos!BE10),(Tasas!C10-Datos!BE10)/Datos!BE10," - ")</f>
        <v>-0.57348901098901095</v>
      </c>
      <c r="J10" s="349">
        <f>IF(ISNUMBER((Tasas!D10-Datos!BF10)/Datos!BF10),(Tasas!D10-Datos!BF10)/Datos!BF10," - ")</f>
        <v>-1</v>
      </c>
      <c r="K10" s="351">
        <f>IF(ISNUMBER((Tasas!E10-Datos!BG10)/Datos!BG10),(Tasas!E10-Datos!BG10)/Datos!BG10," - ")</f>
        <v>-0.54646596858638741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0.71495327102803741</v>
      </c>
      <c r="I12" s="350">
        <f>IF(ISNUMBER((Tasas!C12-Datos!BE12)/Datos!BE12),(Tasas!C12-Datos!BE12)/Datos!BE12," - ")</f>
        <v>-0.3310791876758839</v>
      </c>
      <c r="J12" s="349">
        <f>IF(ISNUMBER((Tasas!D12-Datos!BF12)/Datos!BF12),(Tasas!D12-Datos!BF12)/Datos!BF12," - ")</f>
        <v>-0.36165089289115038</v>
      </c>
      <c r="K12" s="351">
        <f>IF(ISNUMBER((Tasas!E12-Datos!BG12)/Datos!BG12),(Tasas!E12-Datos!BG12)/Datos!BG12," - ")</f>
        <v>-0.34527989876442666</v>
      </c>
      <c r="M12" t="e">
        <f>IF(Monitorios="SI",Datos!CE12,0)</f>
        <v>#REF!</v>
      </c>
      <c r="N12" t="e">
        <f>IF(Monitorios="SI",Datos!CF12,0)</f>
        <v>#REF!</v>
      </c>
      <c r="O12" t="e">
        <f>IF(Monitorios="SI",Datos!CG12,0)</f>
        <v>#REF!</v>
      </c>
      <c r="P12" t="e">
        <f>IF(Monitorios="SI",Datos!CH12,0)</f>
        <v>#REF!</v>
      </c>
      <c r="Q12">
        <f>IF(J_V="SI",0,Datos!AG12)</f>
        <v>573</v>
      </c>
      <c r="R12">
        <f>IF(J_V="SI",0,Datos!AH12)</f>
        <v>124</v>
      </c>
      <c r="S12">
        <f>IF(J_V="SI",0,Datos!AI12)</f>
        <v>110</v>
      </c>
      <c r="T12">
        <f>IF(J_V="SI",0,Datos!AJ12)</f>
        <v>568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0.6834862385321101</v>
      </c>
      <c r="I13" s="357">
        <f>IF(ISNUMBER((Tasas!C13-Datos!BE13)/Datos!BE13),(Tasas!C13-Datos!BE13)/Datos!BE13," - ")</f>
        <v>-0.33451559252085949</v>
      </c>
      <c r="J13" s="355">
        <f>IF(ISNUMBER((Tasas!D13-Datos!BF13)/Datos!BF13),(Tasas!D13-Datos!BF13)/Datos!BF13," - ")</f>
        <v>-0.36905007440218707</v>
      </c>
      <c r="K13" s="358">
        <f>IF(ISNUMBER((Tasas!E13-Datos!BG13)/Datos!BG13),(Tasas!E13-Datos!BG13)/Datos!BG13," - ")</f>
        <v>-0.34772913529893851</v>
      </c>
      <c r="M13" t="e">
        <f>IF(Monitorios="SI",Datos!CE13,0)</f>
        <v>#REF!</v>
      </c>
      <c r="N13" t="e">
        <f>IF(Monitorios="SI",Datos!CF13,0)</f>
        <v>#REF!</v>
      </c>
      <c r="O13" t="e">
        <f>IF(Monitorios="SI",Datos!CG13,0)</f>
        <v>#REF!</v>
      </c>
      <c r="P13" t="e">
        <f>IF(Monitorios="SI",Datos!CH13,0)</f>
        <v>#REF!</v>
      </c>
      <c r="Q13">
        <f>IF(J_V="SI",0,Datos!AG13)</f>
        <v>573</v>
      </c>
      <c r="R13">
        <f>IF(J_V="SI",0,Datos!AH13)</f>
        <v>124</v>
      </c>
      <c r="S13">
        <f>IF(J_V="SI",0,Datos!AI13)</f>
        <v>110</v>
      </c>
      <c r="T13">
        <f>IF(J_V="SI",0,Datos!AJ13)</f>
        <v>568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-4.3921378306236353E-2</v>
      </c>
      <c r="E16" s="348">
        <f>IF(ISNUMBER(
   IF(D_I="SI",(Datos!J16-Datos!T16)/Datos!T16,(Datos!J16+Datos!AD16-(Datos!T16+Datos!AL16))/(Datos!T16+Datos!AL16))
     ),IF(D_I="SI",(Datos!J16-Datos!T16)/Datos!T16,(Datos!J16+Datos!AD16-(Datos!T16+Datos!AL16))/(Datos!T16+Datos!AL16))," - ")</f>
        <v>8.8659793814432994E-2</v>
      </c>
      <c r="F16" s="348">
        <f>IF(ISNUMBER(
   IF(D_I="SI",(Datos!K16-Datos!U16)/Datos!U16,(Datos!K16+Datos!AE16-(Datos!U16+Datos!AM16))/(Datos!U16+Datos!AM16))
     ),IF(D_I="SI",(Datos!K16-Datos!U16)/Datos!U16,(Datos!K16+Datos!AE16-(Datos!U16+Datos!AM16))/(Datos!U16+Datos!AM16))," - ")</f>
        <v>-3.2870708546384221E-2</v>
      </c>
      <c r="G16" s="349">
        <f>IF(ISNUMBER(
   IF(D_I="SI",(Datos!L16-Datos!V16)/Datos!V16,(Datos!L16+Datos!AF16-(Datos!V16+Datos!AN16))/(Datos!V16+Datos!AN16))
     ),IF(D_I="SI",(Datos!L16-Datos!V16)/Datos!V16,(Datos!L16+Datos!AF16-(Datos!V16+Datos!AN16))/(Datos!V16+Datos!AN16))," - ")</f>
        <v>8.7678339818417633E-2</v>
      </c>
      <c r="H16" s="230">
        <f>IF(ISNUMBER((Datos!M16-Datos!W16)/Datos!W16),(Datos!M16-Datos!W16)/Datos!W16," - ")</f>
        <v>-5.2238805970149252E-2</v>
      </c>
      <c r="I16" s="350">
        <f>IF(ISNUMBER((Tasas!C16-Datos!BE16)/Datos!BE16),(Tasas!C16-Datos!BE16)/Datos!BE16," - ")</f>
        <v>0.12464625922312203</v>
      </c>
      <c r="J16" s="349">
        <f>IF(ISNUMBER((Tasas!D16-Datos!BF16)/Datos!BF16),(Tasas!D16-Datos!BF16)/Datos!BF16," - ")</f>
        <v>-2.0026378680615006E-2</v>
      </c>
      <c r="K16" s="351">
        <f>IF(ISNUMBER((Tasas!E16-Datos!BG16)/Datos!BG16),(Tasas!E16-Datos!BG16)/Datos!BG16," - ")</f>
        <v>2.4345273442071408E-2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1.3644859813084111</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2.2727272727272728E-2</v>
      </c>
      <c r="G17" s="349">
        <f>IF(ISNUMBER(
   IF(D_I="SI",(Datos!L17-Datos!V17)/Datos!V17,(Datos!L17+Datos!AF17-(Datos!V17+Datos!AN17))/(Datos!V17+Datos!AN17))
     ),IF(D_I="SI",(Datos!L17-Datos!V17)/Datos!V17,(Datos!L17+Datos!AF17-(Datos!V17+Datos!AN17))/(Datos!V17+Datos!AN17))," - ")</f>
        <v>1.0196850393700787</v>
      </c>
      <c r="H17" s="230">
        <f>IF(ISNUMBER((Datos!M17-Datos!W17)/Datos!W17),(Datos!M17-Datos!W17)/Datos!W17," - ")</f>
        <v>0.3235294117647059</v>
      </c>
      <c r="I17" s="350">
        <f>IF(ISNUMBER((Tasas!C17-Datos!BE17)/Datos!BE17),(Tasas!C17-Datos!BE17)/Datos!BE17," - ")</f>
        <v>0.97480314960629932</v>
      </c>
      <c r="J17" s="349">
        <f>IF(ISNUMBER((Tasas!D17-Datos!BF17)/Datos!BF17),(Tasas!D17-Datos!BF17)/Datos!BF17," - ")</f>
        <v>0.29411764705882354</v>
      </c>
      <c r="K17" s="351">
        <f>IF(ISNUMBER((Tasas!E17-Datos!BG17)/Datos!BG17),(Tasas!E17-Datos!BG17)/Datos!BG17," - ")</f>
        <v>0.55989664082687318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2.5605536332179931E-2</v>
      </c>
      <c r="E18" s="354">
        <f>IF(ISNUMBER(
   IF(D_I="SI",(Datos!J18-Datos!T18)/Datos!T18,(Datos!J18+Datos!AD18-(Datos!T18+Datos!AL18))/(Datos!T18+Datos!AL18))
     ),IF(D_I="SI",(Datos!J18-Datos!T18)/Datos!T18,(Datos!J18+Datos!AD18-(Datos!T18+Datos!AL18))/(Datos!T18+Datos!AL18))," - ")</f>
        <v>5.565529622980251E-2</v>
      </c>
      <c r="F18" s="354">
        <f>IF(ISNUMBER(
   IF(D_I="SI",(Datos!K18-Datos!U18)/Datos!U18,(Datos!K18+Datos!AE18-(Datos!U18+Datos!AM18))/(Datos!U18+Datos!AM18))
     ),IF(D_I="SI",(Datos!K18-Datos!U18)/Datos!U18,(Datos!K18+Datos!AE18-(Datos!U18+Datos!AM18))/(Datos!U18+Datos!AM18))," - ")</f>
        <v>-2.6537216828478965E-2</v>
      </c>
      <c r="G18" s="355">
        <f>IF(ISNUMBER(
   IF(D_I="SI",(Datos!L18-Datos!V18)/Datos!V18,(Datos!L18+Datos!AF18-(Datos!V18+Datos!AN18))/(Datos!V18+Datos!AN18))
     ),IF(D_I="SI",(Datos!L18-Datos!V18)/Datos!V18,(Datos!L18+Datos!AF18-(Datos!V18+Datos!AN18))/(Datos!V18+Datos!AN18))," - ")</f>
        <v>0.14529082501825261</v>
      </c>
      <c r="H18" s="356">
        <f>IF(ISNUMBER((Datos!M18-Datos!W18)/Datos!W18),(Datos!M18-Datos!W18)/Datos!W18," - ")</f>
        <v>2.3809523809523808E-2</v>
      </c>
      <c r="I18" s="357">
        <f>IF(ISNUMBER((Tasas!C18-Datos!BE18)/Datos!BE18),(Tasas!C18-Datos!BE18)/Datos!BE18," - ")</f>
        <v>0.17651218394494705</v>
      </c>
      <c r="J18" s="355">
        <f>IF(ISNUMBER((Tasas!D18-Datos!BF18)/Datos!BF18),(Tasas!D18-Datos!BF18)/Datos!BF18," - ")</f>
        <v>5.1719224924012153E-2</v>
      </c>
      <c r="K18" s="358">
        <f>IF(ISNUMBER((Tasas!E18-Datos!BG18)/Datos!BG18),(Tasas!E18-Datos!BG18)/Datos!BG18," - ")</f>
        <v>6.2152608030267648E-2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-1.9331243469174503E-2</v>
      </c>
      <c r="E19" s="363">
        <f>IF(ISNUMBER(
   IF(J_V="SI",(Datos!J19-Datos!T19)/Datos!T19,(Datos!J19+Datos!Z19-(Datos!T19+Datos!AH19))/(Datos!T19+Datos!AH19))
     ),IF(J_V="SI",(Datos!J19-Datos!T19)/Datos!T19,(Datos!J19+Datos!Z19-(Datos!T19+Datos!AH19))/(Datos!T19+Datos!AH19))," - ")</f>
        <v>-0.1006006006006006</v>
      </c>
      <c r="F19" s="363">
        <f>IF(ISNUMBER(
   IF(J_V="SI",(Datos!K19-Datos!U19)/Datos!U19,(Datos!K19+Datos!AA19-(Datos!U19+Datos!AI19))/(Datos!U19+Datos!AI19))
     ),IF(J_V="SI",(Datos!K19-Datos!U19)/Datos!U19,(Datos!K19+Datos!AA19-(Datos!U19+Datos!AI19))/(Datos!U19+Datos!AI19))," - ")</f>
        <v>0.17653390742734124</v>
      </c>
      <c r="G19" s="364">
        <f>IF(ISNUMBER(
   IF(J_V="SI",(Datos!L19-Datos!V19)/Datos!V19,(Datos!L19+Datos!AB19-(Datos!V19+Datos!AJ19))/(Datos!V19+Datos!AJ19))
     ),IF(J_V="SI",(Datos!L19-Datos!V19)/Datos!V19,(Datos!L19+Datos!AB19-(Datos!V19+Datos!AJ19))/(Datos!V19+Datos!AJ19))," - ")</f>
        <v>3.4804307853953244E-3</v>
      </c>
      <c r="H19" s="365">
        <f>IF(ISNUMBER((Datos!M19-Datos!W19)/Datos!W19),(Datos!M19-Datos!W19)/Datos!W19," - ")</f>
        <v>0.39637305699481867</v>
      </c>
      <c r="I19" s="362">
        <f>IF(ISNUMBER((Tasas!C19-Datos!BE19)/Datos!BE19),(Tasas!C19-Datos!BE19)/Datos!BE19," - ")</f>
        <v>-0.14708753870115987</v>
      </c>
      <c r="J19" s="363">
        <f>IF(ISNUMBER((Tasas!D19-Datos!BF19)/Datos!BF19),(Tasas!D19-Datos!BF19)/Datos!BF19," - ")</f>
        <v>-0.20326027288277176</v>
      </c>
      <c r="K19" s="364">
        <f>IF(ISNUMBER((Tasas!E19-Datos!BG19)/Datos!BG19),(Tasas!E19-Datos!BG19)/Datos!BG19," - ")</f>
        <v>-0.18077228747793514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0.71770453089759823</v>
      </c>
      <c r="E21" s="278">
        <f t="shared" si="1"/>
        <v>0.21593886476990018</v>
      </c>
      <c r="F21" s="278">
        <f t="shared" si="1"/>
        <v>0.39578330378665716</v>
      </c>
      <c r="G21" s="279">
        <f t="shared" si="1"/>
        <v>0.53898790349979731</v>
      </c>
      <c r="H21" s="285">
        <f t="shared" si="1"/>
        <v>0.63342126257088882</v>
      </c>
      <c r="I21" s="277">
        <f t="shared" si="1"/>
        <v>0.55625740720225636</v>
      </c>
      <c r="J21" s="278">
        <f t="shared" si="1"/>
        <v>0.45334701413845896</v>
      </c>
      <c r="K21" s="279">
        <f t="shared" si="1"/>
        <v>0.39951836660006612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Wu8NCMoiWKnpLXm7zgWXdoyN24Wa/l89mfcBfPUKWILFKyz4k9eKYmdqJ661G+rcsa4l/9a6t9tcOuebFfKqQ==" saltValue="zYy+4UcS7lVBlbkJYiUFz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